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tabRatio="684" activeTab="0"/>
  </bookViews>
  <sheets>
    <sheet name="Chi phi Du an- NHAVIET" sheetId="1" r:id="rId1"/>
  </sheets>
  <definedNames>
    <definedName name="_xlnm.Print_Area" localSheetId="0">'Chi phi Du an- NHAVIET'!$B$4:$D$45</definedName>
  </definedNames>
  <calcPr fullCalcOnLoad="1"/>
</workbook>
</file>

<file path=xl/sharedStrings.xml><?xml version="1.0" encoding="utf-8"?>
<sst xmlns="http://schemas.openxmlformats.org/spreadsheetml/2006/main" count="392" uniqueCount="120">
  <si>
    <t>TT</t>
  </si>
  <si>
    <t>Lo¹i c«ng tr×nh</t>
  </si>
  <si>
    <t>Chi phÝ x©y dùng vµ thiÕt bÞ (tû ®ång)</t>
  </si>
  <si>
    <t>C«ng tr×nh d©n dông</t>
  </si>
  <si>
    <t>C«ng tr×nh c«ng nghiÖp</t>
  </si>
  <si>
    <t>C«ng tr×nh giao th«ng</t>
  </si>
  <si>
    <t>C«ng tr×nh thuû lîi</t>
  </si>
  <si>
    <t>C«ng tr×nh h¹ tÇng kü thuËt</t>
  </si>
  <si>
    <t>§¬n vÞ tÝnh: Tû lÖ %</t>
  </si>
  <si>
    <t xml:space="preserve">Lo¹i c«ng tr×nh </t>
  </si>
  <si>
    <t>Chi phÝ x©y dùng</t>
  </si>
  <si>
    <t xml:space="preserve"> (tû ®ång)</t>
  </si>
  <si>
    <t>CÊp c«ng tr×nh</t>
  </si>
  <si>
    <t>CÊp ®Æc biÖt</t>
  </si>
  <si>
    <t>CÊp I</t>
  </si>
  <si>
    <t>CÊp II</t>
  </si>
  <si>
    <t>-</t>
  </si>
  <si>
    <t>CÊp III</t>
  </si>
  <si>
    <t>CÊp IV</t>
  </si>
  <si>
    <t>Chi phÝ x©y dùng (tû ®ång)</t>
  </si>
  <si>
    <t>Chi phÝ thiÕt bÞ (tû ®ång)</t>
  </si>
  <si>
    <r>
      <t xml:space="preserve">§¬n vÞ tÝnh: Tû lÖ </t>
    </r>
    <r>
      <rPr>
        <sz val="12"/>
        <rFont val=".VnTime"/>
        <family val="2"/>
      </rPr>
      <t>%</t>
    </r>
  </si>
  <si>
    <t>thiÕt kÕ b¶n vÏ thi c«ng ®èi víi c«ng tr×nh cã yªu cÇu thiÕt kÕ 2 b­­íc</t>
  </si>
  <si>
    <t>1. §Þnh møc chi phÝ qu¶n lý dù ¸n</t>
  </si>
  <si>
    <t xml:space="preserve">2. §Þnh møc chi phÝ lËp dù ¸n </t>
  </si>
  <si>
    <t>3. §Þnh møc chi phÝ lËp b¸o c¸o kinh tÕ-kü thuËt</t>
  </si>
  <si>
    <t>4. §Þnh møc chi phÝ thiÕt kÕ kü thuËt cña c«ng tr×nh d©n dông cã yªu cÇu thiÕt kÕ 3 b­íc</t>
  </si>
  <si>
    <t>5. §Þnh møc chi phÝ thiÕt kÕ b¶n vÏ thi c«ng cña c«ng tr×nh d©n dông cã yªu cÇu thiÕt kÕ 2 b­íc</t>
  </si>
  <si>
    <t>7. §Þnh møc chi phÝ thiÕt kÕ b¶n vÏ thi c«ng cña c«ng tr×nh c«ng nghiÖp cã yªu cÇu thiÕt kÕ 2 b­íc</t>
  </si>
  <si>
    <t>9. §Þnh møc chi phÝ thiÕt kÕ b¶n vÏ thi c«ng cña c«ng tr×nh giao th«ng cã yªu cÇu thiÕt kÕ 2 b­íc</t>
  </si>
  <si>
    <t>13. §Þnh møc chi phÝ thiÕt kÕ b¶n vÏ thi c«ng cña c«ng tr×nh h¹ tÇng kü thuËt cã yªu cÇu thiÕt kÕ 2 b­íc</t>
  </si>
  <si>
    <t>6. §Þnh møc chi phÝ thiÕt kÕ kü thuËt cña c«ng tr×nh c«ng nghiÖp cã yªu cÇu thiÕt kÕ 3 b­íc</t>
  </si>
  <si>
    <t>8. §Þnh møc chi phÝ thiÕt kÕ kü thuËt cña c«ng tr×nh giao th«ng cã yªu cÇu thiÕt kÕ 3 b­íc</t>
  </si>
  <si>
    <t>12. §Þnh møc chi phÝ thiÕt kÕ kü thuËt cña c«ng tr×nh h¹ tÇng kü thuËt cã yªu cÇu thiÕt kÕ 3 b­íc</t>
  </si>
  <si>
    <t>14. §Þnh møc chi phÝ thÈm tra thiÕt kÕ kü thuËt ®èi víi c«ng tr×nh cã yªu cÇu thiÕt kÕ 3 b­íc</t>
  </si>
  <si>
    <t>15. §Þnh møc chi phÝ thÈm tra dù to¸n c«ng tr×nh</t>
  </si>
  <si>
    <t>16. §Þnh møc chi phÝ lËp hå s¬ mêi thÇu, ®¸nh gi¸ hå s¬ dù thÇu thi c«ng x©y dùng</t>
  </si>
  <si>
    <t>17. §Þnh møc chi phÝ lËp hå s¬ mêi thÇu, ®¸nh gi¸ hå s¬ dù thÇu cung cÊp vËt t­ thiÕt bÞ</t>
  </si>
  <si>
    <t>18. §Þnh møc chi phÝ gi¸m s¸t thi c«ng x©y dùng</t>
  </si>
  <si>
    <t>19. §Þnh møc chi phÝ gi¸m s¸t l¾p ®Æt thiÕt bÞ</t>
  </si>
  <si>
    <t>Chi phÝ XD vµ TB</t>
  </si>
  <si>
    <t>Loại công trình</t>
  </si>
  <si>
    <t>Giá trị Xây lắp + thiết bị</t>
  </si>
  <si>
    <t>Giá trị Xây lắp</t>
  </si>
  <si>
    <t>Giá trị Thiết bị</t>
  </si>
  <si>
    <t>Định mức chi phí</t>
  </si>
  <si>
    <t>Công trình dân dụng</t>
  </si>
  <si>
    <t>Công trình công nghiệp</t>
  </si>
  <si>
    <t>Công trình giao thông</t>
  </si>
  <si>
    <t>Công trình thuỷ lợi</t>
  </si>
  <si>
    <t>Công trình hạ tầng kỹ thuật</t>
  </si>
  <si>
    <t>Giá trị xây lắp</t>
  </si>
  <si>
    <t>Giá trị thiết bị</t>
  </si>
  <si>
    <t>Chi phí quản lý dự án</t>
  </si>
  <si>
    <t>Chi phí thẩm tra thiết kế</t>
  </si>
  <si>
    <t>Chi phí thẩm tra dự toán</t>
  </si>
  <si>
    <t>Chi phí lập HSMT xây lắp</t>
  </si>
  <si>
    <t>Chi phí lập HSMT thiết bị</t>
  </si>
  <si>
    <t>Giám sát thi công xây lắp</t>
  </si>
  <si>
    <t>Giám sát thi công thiết bị</t>
  </si>
  <si>
    <t>Dữ liệu đầu vào</t>
  </si>
  <si>
    <t>Cấp công trình</t>
  </si>
  <si>
    <t>Số bước thiết kế</t>
  </si>
  <si>
    <t>2 bước</t>
  </si>
  <si>
    <t>3 bước</t>
  </si>
  <si>
    <t>Công trình 3 bước</t>
  </si>
  <si>
    <t>Dân dụng</t>
  </si>
  <si>
    <t>Công nghiệp</t>
  </si>
  <si>
    <t>Giao thông</t>
  </si>
  <si>
    <t>Thủy lợi</t>
  </si>
  <si>
    <t>Hạ tầng kỹ thuật</t>
  </si>
  <si>
    <t>Công trình 2 bước</t>
  </si>
  <si>
    <t>Báo cáo dự án đầu tư</t>
  </si>
  <si>
    <t>Báo cáo kinh tế kỹ thuật</t>
  </si>
  <si>
    <t>Loại báo cáo</t>
  </si>
  <si>
    <t>1 bước</t>
  </si>
  <si>
    <t>Chi phí khác</t>
  </si>
  <si>
    <t>Dự phòng phí (10%)</t>
  </si>
  <si>
    <t>TỔNG HỢP TỔNG MỨC ĐẦU TƯ</t>
  </si>
  <si>
    <t>XL</t>
  </si>
  <si>
    <t>TB</t>
  </si>
  <si>
    <t>CPK</t>
  </si>
  <si>
    <t>DP</t>
  </si>
  <si>
    <t>TVĐT</t>
  </si>
  <si>
    <t>Tổng vốn đầu tư</t>
  </si>
  <si>
    <t>CHI PHÍ THẨM TRA, PHÊ DUYỆT QUYẾT TOÁN; KIỂM TOÁN</t>
  </si>
  <si>
    <t>Tổng mức đầu tư  (Tỷ đồng)</t>
  </si>
  <si>
    <t>Thẩm tra -phê duyệt (%)</t>
  </si>
  <si>
    <t>Kiểm toán ( %)</t>
  </si>
  <si>
    <t>Thẩm tra - phê duyệt</t>
  </si>
  <si>
    <t>Kiểm toán</t>
  </si>
  <si>
    <t>Chi phí kiểm toán, quyết toán vốn đầu tư theo 33/2007/TT-BTC</t>
  </si>
  <si>
    <t>Tổng mức đầu tư</t>
  </si>
  <si>
    <t>Lệ phí thẩm định theo Thông tư 109/2000/TT-BTC</t>
  </si>
  <si>
    <t>Lệ phí thẩm định dự án đầu tư</t>
  </si>
  <si>
    <t>Lệ phí thẩm định thiết kế</t>
  </si>
  <si>
    <t>Lệ phí thẩm định dự toán</t>
  </si>
  <si>
    <t>Lệ phí thẩm định Dự án đầu tư</t>
  </si>
  <si>
    <t>Lệ phí thẩm định Thiết kế kỹ thuật</t>
  </si>
  <si>
    <t>Công trình thủy lợi</t>
  </si>
  <si>
    <t>Lệ phí thẩm định Tổng dự toán</t>
  </si>
  <si>
    <t>Thẩm tra, phê duyệt quyết toán</t>
  </si>
  <si>
    <t>Công trình nhóm I-V</t>
  </si>
  <si>
    <t>TMĐT</t>
  </si>
  <si>
    <t>Chi phí kiểm toán</t>
  </si>
  <si>
    <t>2. §Þnh møc chi phÝ thÈm tra tÝnh hiÖu qu¶ vµ tÝnh kh¶ thi dù ¸n ®Çu t­</t>
  </si>
  <si>
    <t>Giá trị xây lắp trước thuế</t>
  </si>
  <si>
    <t>Giá trị thiết bị trước thuế</t>
  </si>
  <si>
    <t>đồng</t>
  </si>
  <si>
    <r>
      <t>Lưu ý:</t>
    </r>
    <r>
      <rPr>
        <sz val="11"/>
        <color indexed="16"/>
        <rFont val="Times New Roman"/>
        <family val="1"/>
      </rPr>
      <t xml:space="preserve"> Chi phí bên được nhân với hệ số điều chỉnh từ 0,7 đến 0,8</t>
    </r>
  </si>
  <si>
    <t>CÔNG TY CỔ PHẦN CÔNG TRÌNH NHÀ VIỆT</t>
  </si>
  <si>
    <t>VIETHOUSE BUILDING JOINT STOCK COMPANY</t>
  </si>
  <si>
    <r>
      <t>E</t>
    </r>
    <r>
      <rPr>
        <sz val="11"/>
        <color indexed="30"/>
        <rFont val="Times New Roman"/>
        <family val="1"/>
      </rPr>
      <t>mail : nhavietpmc@gmail.com</t>
    </r>
  </si>
  <si>
    <r>
      <t>W</t>
    </r>
    <r>
      <rPr>
        <sz val="11"/>
        <color indexed="30"/>
        <rFont val="Times New Roman"/>
        <family val="1"/>
      </rPr>
      <t xml:space="preserve">ebsite : </t>
    </r>
    <r>
      <rPr>
        <b/>
        <sz val="11"/>
        <color indexed="30"/>
        <rFont val="Times New Roman"/>
        <family val="1"/>
      </rPr>
      <t>congtrinhnhaviet.vn / nhavietpmc.om</t>
    </r>
  </si>
  <si>
    <t>10. §Þnh møc chi phÝ thiÕt kÕ kü thuËt cña c«ng tr×nh n«ng nghiÖp vµ ph¸t triÓn n«ng th«n cã yªu cÇu thiÕt kÕ 3 b­íc</t>
  </si>
  <si>
    <t>11. §Þnh møc chi phÝ thiÕt kÕ b¶n vÏ thi c«ng cña  n«ng nghiÖp vµ ph¸t triÓn n«ng th«n cã yªu cÇu thiÕt kÕ 2 b­íc</t>
  </si>
  <si>
    <r>
      <t>T</t>
    </r>
    <r>
      <rPr>
        <sz val="11"/>
        <color indexed="30"/>
        <rFont val="Times New Roman"/>
        <family val="1"/>
      </rPr>
      <t>el: 093,159,0000 - Fax : 0225.3246545</t>
    </r>
  </si>
  <si>
    <t>Định mức chi phí theo Thông tư 12/2021 /TT-BXD ngày 31/08/2021</t>
  </si>
  <si>
    <t>TT 06/2021/TT-BXD</t>
  </si>
  <si>
    <t>đồng/ QĐ 65/QĐ-BXD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</si>
</sst>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VND&quot;#,##0_);\(&quot;VND&quot;#,##0\)"/>
    <numFmt numFmtId="173" formatCode="&quot;VND&quot;#,##0_);[Red]\(&quot;VND&quot;#,##0\)"/>
    <numFmt numFmtId="174" formatCode="&quot;VND&quot;#,##0.00_);\(&quot;VND&quot;#,##0.00\)"/>
    <numFmt numFmtId="175" formatCode="&quot;VND&quot;#,##0.00_);[Red]\(&quot;VND&quot;#,##0.00\)"/>
    <numFmt numFmtId="176" formatCode="_(&quot;VND&quot;* #,##0_);_(&quot;VND&quot;* \(#,##0\);_(&quot;VND&quot;* &quot;-&quot;_);_(@_)"/>
    <numFmt numFmtId="177" formatCode="_(&quot;VND&quot;* #,##0.00_);_(&quot;VND&quot;* \(#,##0.00\);_(&quot;VND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&lt;=&quot;\ 0"/>
    <numFmt numFmtId="183" formatCode="_(* #,##0.0_);_(* \(#,##0.0\);_(* &quot;-&quot;_);_(@_)"/>
    <numFmt numFmtId="184" formatCode="_(* #,##0.00_);_(* \(#,##0.00\);_(* &quot;-&quot;_);_(@_)"/>
    <numFmt numFmtId="185" formatCode="_(* #,##0.000_);_(* \(#,##0.000\);_(* &quot;-&quot;_);_(@_)"/>
    <numFmt numFmtId="186" formatCode="_(* #,##0.0000_);_(* \(#,##0.0000\);_(* &quot;-&quot;_);_(@_)"/>
    <numFmt numFmtId="187" formatCode="&quot;&lt;=&quot;"/>
    <numFmt numFmtId="188" formatCode="&quot;&lt;=&quot;0"/>
    <numFmt numFmtId="189" formatCode="#,##0.00&quot;%&quot;"/>
    <numFmt numFmtId="190" formatCode="#,##0.000&quot;%&quot;"/>
    <numFmt numFmtId="191" formatCode="#,##0.0000&quot;%&quot;"/>
    <numFmt numFmtId="192" formatCode="#,##0.00000&quot;%&quot;"/>
    <numFmt numFmtId="193" formatCode="_(* #,##0.000_);_(* \(#,##0.000\);_(* &quot;-&quot;???_);_(@_)"/>
    <numFmt numFmtId="194" formatCode="#,##0.000"/>
    <numFmt numFmtId="195" formatCode="\&lt;\="/>
    <numFmt numFmtId="196" formatCode="&quot;&gt;=&quot;0"/>
    <numFmt numFmtId="197" formatCode="&quot;&lt;=&quot;#,##0"/>
    <numFmt numFmtId="198" formatCode="&quot;&gt;=&quot;#,##0"/>
    <numFmt numFmtId="199" formatCode="&quot;&lt;=&quot;0.00"/>
    <numFmt numFmtId="200" formatCode="&quot;&lt;=&quot;0.0"/>
    <numFmt numFmtId="201" formatCode="&quot;&gt;=&quot;\ 0"/>
    <numFmt numFmtId="202" formatCode="&quot;&lt;&quot;"/>
    <numFmt numFmtId="203" formatCode="&quot;&lt;&quot;\ 0"/>
    <numFmt numFmtId="204" formatCode="#,##0.0"/>
    <numFmt numFmtId="205" formatCode="#.##0.000&quot;%&quot;"/>
    <numFmt numFmtId="206" formatCode="#.##0.0000&quot;%&quot;"/>
    <numFmt numFmtId="207" formatCode="#.##0.00000&quot;%&quot;"/>
    <numFmt numFmtId="208" formatCode="#.##0.00&quot;%&quot;"/>
    <numFmt numFmtId="209" formatCode="#.##0.0&quot;%&quot;"/>
    <numFmt numFmtId="210" formatCode="#.##0.&quot;%&quot;"/>
    <numFmt numFmtId="211" formatCode="#.##.&quot;ĥ&quot;;\:"/>
    <numFmt numFmtId="212" formatCode="#.###.&quot;ĥ&quot;;\:"/>
    <numFmt numFmtId="213" formatCode="#.####.&quot;ĥ&quot;;\:"/>
    <numFmt numFmtId="214" formatCode="#.#####.&quot;ĥ&quot;;\:"/>
    <numFmt numFmtId="215" formatCode="#.######.&quot;ĥ&quot;;\:"/>
    <numFmt numFmtId="216" formatCode="#.#######.&quot;ĥ&quot;;\:"/>
    <numFmt numFmtId="217" formatCode="#.########.&quot;ĥ&quot;;\:"/>
    <numFmt numFmtId="218" formatCode="_(* #.##0.000_);_(* \(#.##0.000\);_(* &quot;-&quot;???_);_(@_)"/>
  </numFmts>
  <fonts count="68">
    <font>
      <sz val="11"/>
      <name val="Times New Roman"/>
      <family val="0"/>
    </font>
    <font>
      <b/>
      <sz val="14"/>
      <name val=".VnTime"/>
      <family val="2"/>
    </font>
    <font>
      <sz val="14"/>
      <name val=".VnTime"/>
      <family val="2"/>
    </font>
    <font>
      <b/>
      <sz val="14"/>
      <name val="Symbol"/>
      <family val="1"/>
    </font>
    <font>
      <sz val="12"/>
      <name val=".VnTime"/>
      <family val="2"/>
    </font>
    <font>
      <b/>
      <sz val="12"/>
      <name val=".VnTime"/>
      <family val="2"/>
    </font>
    <font>
      <sz val="8"/>
      <name val="Times New Roman"/>
      <family val="1"/>
    </font>
    <font>
      <b/>
      <sz val="13"/>
      <name val=".VnTime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b/>
      <sz val="13"/>
      <color indexed="9"/>
      <name val="Times New Roman"/>
      <family val="1"/>
    </font>
    <font>
      <sz val="11"/>
      <color indexed="16"/>
      <name val="Times New Roman"/>
      <family val="1"/>
    </font>
    <font>
      <b/>
      <sz val="11"/>
      <color indexed="16"/>
      <name val=".VnTime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u val="single"/>
      <sz val="11"/>
      <color indexed="16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Segoe UI"/>
      <family val="2"/>
    </font>
    <font>
      <sz val="8"/>
      <name val="Segoe UI"/>
      <family val="2"/>
    </font>
    <font>
      <b/>
      <sz val="16"/>
      <color indexed="3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Times New Roman"/>
      <family val="1"/>
    </font>
    <font>
      <sz val="12"/>
      <color rgb="FF2C3E50"/>
      <name val="Segoe U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8FA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 indent="1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vertical="center" wrapText="1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10" fillId="34" borderId="10" xfId="0" applyFont="1" applyFill="1" applyBorder="1" applyAlignment="1" applyProtection="1">
      <alignment vertical="center"/>
      <protection hidden="1"/>
    </xf>
    <xf numFmtId="0" fontId="9" fillId="34" borderId="10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184" fontId="9" fillId="34" borderId="10" xfId="0" applyNumberFormat="1" applyFont="1" applyFill="1" applyBorder="1" applyAlignment="1" applyProtection="1">
      <alignment vertical="center"/>
      <protection hidden="1"/>
    </xf>
    <xf numFmtId="0" fontId="10" fillId="35" borderId="10" xfId="0" applyFont="1" applyFill="1" applyBorder="1" applyAlignment="1" applyProtection="1">
      <alignment vertical="center"/>
      <protection hidden="1"/>
    </xf>
    <xf numFmtId="41" fontId="9" fillId="0" borderId="0" xfId="0" applyNumberFormat="1" applyFont="1" applyAlignment="1" applyProtection="1">
      <alignment vertical="center"/>
      <protection hidden="1"/>
    </xf>
    <xf numFmtId="185" fontId="9" fillId="0" borderId="0" xfId="0" applyNumberFormat="1" applyFont="1" applyAlignment="1" applyProtection="1">
      <alignment vertical="center"/>
      <protection hidden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3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vertical="center" wrapText="1"/>
      <protection hidden="1"/>
    </xf>
    <xf numFmtId="0" fontId="2" fillId="0" borderId="13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15" xfId="0" applyFont="1" applyBorder="1" applyAlignment="1" applyProtection="1">
      <alignment horizontal="right" vertical="center"/>
      <protection hidden="1"/>
    </xf>
    <xf numFmtId="188" fontId="3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6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indent="1"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3" fontId="7" fillId="0" borderId="12" xfId="0" applyNumberFormat="1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88" fontId="3" fillId="33" borderId="10" xfId="0" applyNumberFormat="1" applyFont="1" applyFill="1" applyBorder="1" applyAlignment="1" applyProtection="1">
      <alignment horizontal="center" vertical="center"/>
      <protection hidden="1"/>
    </xf>
    <xf numFmtId="3" fontId="1" fillId="33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188" fontId="0" fillId="0" borderId="0" xfId="0" applyNumberFormat="1" applyAlignment="1" applyProtection="1">
      <alignment vertical="center"/>
      <protection hidden="1"/>
    </xf>
    <xf numFmtId="188" fontId="3" fillId="0" borderId="14" xfId="0" applyNumberFormat="1" applyFont="1" applyFill="1" applyBorder="1" applyAlignment="1" applyProtection="1">
      <alignment horizontal="center" vertical="center"/>
      <protection hidden="1"/>
    </xf>
    <xf numFmtId="3" fontId="7" fillId="0" borderId="13" xfId="0" applyNumberFormat="1" applyFont="1" applyBorder="1" applyAlignment="1" applyProtection="1">
      <alignment horizontal="center"/>
      <protection hidden="1"/>
    </xf>
    <xf numFmtId="41" fontId="9" fillId="34" borderId="10" xfId="0" applyNumberFormat="1" applyFont="1" applyFill="1" applyBorder="1" applyAlignment="1" applyProtection="1">
      <alignment vertical="center"/>
      <protection hidden="1"/>
    </xf>
    <xf numFmtId="0" fontId="0" fillId="0" borderId="17" xfId="0" applyFill="1" applyBorder="1" applyAlignment="1">
      <alignment vertical="center"/>
    </xf>
    <xf numFmtId="0" fontId="10" fillId="34" borderId="18" xfId="0" applyFont="1" applyFill="1" applyBorder="1" applyAlignment="1" applyProtection="1">
      <alignment vertical="center"/>
      <protection hidden="1"/>
    </xf>
    <xf numFmtId="0" fontId="12" fillId="0" borderId="14" xfId="0" applyFont="1" applyFill="1" applyBorder="1" applyAlignment="1" applyProtection="1">
      <alignment vertical="center"/>
      <protection hidden="1" locked="0"/>
    </xf>
    <xf numFmtId="41" fontId="13" fillId="0" borderId="12" xfId="0" applyNumberFormat="1" applyFont="1" applyFill="1" applyBorder="1" applyAlignment="1" applyProtection="1">
      <alignment vertical="center"/>
      <protection hidden="1" locked="0"/>
    </xf>
    <xf numFmtId="41" fontId="16" fillId="0" borderId="19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left" vertical="center" wrapText="1"/>
      <protection hidden="1"/>
    </xf>
    <xf numFmtId="197" fontId="14" fillId="0" borderId="10" xfId="0" applyNumberFormat="1" applyFont="1" applyBorder="1" applyAlignment="1" applyProtection="1">
      <alignment horizontal="center" vertical="center" wrapText="1"/>
      <protection hidden="1"/>
    </xf>
    <xf numFmtId="37" fontId="14" fillId="0" borderId="10" xfId="0" applyNumberFormat="1" applyFont="1" applyBorder="1" applyAlignment="1" applyProtection="1">
      <alignment horizontal="center" vertical="center" wrapText="1"/>
      <protection hidden="1"/>
    </xf>
    <xf numFmtId="198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5" fillId="0" borderId="14" xfId="0" applyFont="1" applyBorder="1" applyAlignment="1" applyProtection="1">
      <alignment horizontal="left" vertical="center" wrapText="1" indent="1"/>
      <protection hidden="1"/>
    </xf>
    <xf numFmtId="0" fontId="15" fillId="0" borderId="14" xfId="0" applyFont="1" applyBorder="1" applyAlignment="1" applyProtection="1">
      <alignment horizontal="center" vertical="center" wrapText="1"/>
      <protection hidden="1"/>
    </xf>
    <xf numFmtId="0" fontId="15" fillId="0" borderId="13" xfId="0" applyFont="1" applyBorder="1" applyAlignment="1" applyProtection="1">
      <alignment horizontal="left" vertical="center" wrapText="1" indent="1"/>
      <protection hidden="1"/>
    </xf>
    <xf numFmtId="0" fontId="15" fillId="0" borderId="13" xfId="0" applyFont="1" applyBorder="1" applyAlignment="1" applyProtection="1">
      <alignment horizontal="center" vertical="center" wrapText="1"/>
      <protection hidden="1"/>
    </xf>
    <xf numFmtId="0" fontId="0" fillId="36" borderId="0" xfId="0" applyFill="1" applyAlignment="1" applyProtection="1">
      <alignment vertical="center"/>
      <protection hidden="1"/>
    </xf>
    <xf numFmtId="0" fontId="17" fillId="0" borderId="0" xfId="0" applyFont="1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41" fontId="9" fillId="0" borderId="0" xfId="0" applyNumberFormat="1" applyFont="1" applyFill="1" applyAlignment="1" applyProtection="1">
      <alignment vertical="center"/>
      <protection hidden="1"/>
    </xf>
    <xf numFmtId="185" fontId="9" fillId="0" borderId="0" xfId="0" applyNumberFormat="1" applyFont="1" applyFill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200" fontId="18" fillId="0" borderId="10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36" borderId="0" xfId="0" applyFill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 hidden="1" locked="0"/>
    </xf>
    <xf numFmtId="0" fontId="0" fillId="36" borderId="0" xfId="0" applyFill="1" applyAlignment="1">
      <alignment vertical="center"/>
    </xf>
    <xf numFmtId="0" fontId="0" fillId="36" borderId="10" xfId="0" applyFill="1" applyBorder="1" applyAlignment="1" applyProtection="1">
      <alignment vertical="center"/>
      <protection hidden="1"/>
    </xf>
    <xf numFmtId="0" fontId="0" fillId="36" borderId="10" xfId="0" applyFill="1" applyBorder="1" applyAlignment="1" applyProtection="1">
      <alignment horizontal="center" vertical="center"/>
      <protection hidden="1"/>
    </xf>
    <xf numFmtId="194" fontId="0" fillId="36" borderId="10" xfId="0" applyNumberFormat="1" applyFill="1" applyBorder="1" applyAlignment="1" applyProtection="1">
      <alignment vertical="center"/>
      <protection hidden="1"/>
    </xf>
    <xf numFmtId="0" fontId="0" fillId="36" borderId="0" xfId="0" applyFill="1" applyBorder="1" applyAlignment="1" applyProtection="1">
      <alignment vertical="center"/>
      <protection hidden="1"/>
    </xf>
    <xf numFmtId="0" fontId="0" fillId="36" borderId="0" xfId="0" applyFill="1" applyBorder="1" applyAlignment="1" applyProtection="1">
      <alignment horizontal="center" vertical="center"/>
      <protection hidden="1"/>
    </xf>
    <xf numFmtId="194" fontId="0" fillId="36" borderId="0" xfId="0" applyNumberFormat="1" applyFill="1" applyBorder="1" applyAlignment="1" applyProtection="1">
      <alignment vertical="center"/>
      <protection hidden="1"/>
    </xf>
    <xf numFmtId="0" fontId="11" fillId="36" borderId="0" xfId="0" applyFont="1" applyFill="1" applyAlignment="1">
      <alignment vertical="center"/>
    </xf>
    <xf numFmtId="41" fontId="11" fillId="36" borderId="0" xfId="0" applyNumberFormat="1" applyFont="1" applyFill="1" applyAlignment="1">
      <alignment vertical="center"/>
    </xf>
    <xf numFmtId="0" fontId="5" fillId="0" borderId="0" xfId="0" applyFont="1" applyBorder="1" applyAlignment="1" applyProtection="1">
      <alignment horizontal="right"/>
      <protection hidden="1"/>
    </xf>
    <xf numFmtId="182" fontId="3" fillId="33" borderId="10" xfId="0" applyNumberFormat="1" applyFont="1" applyFill="1" applyBorder="1" applyAlignment="1" applyProtection="1">
      <alignment horizontal="center" vertical="center"/>
      <protection hidden="1"/>
    </xf>
    <xf numFmtId="201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203" fontId="1" fillId="33" borderId="16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20" xfId="0" applyNumberFormat="1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/>
      <protection hidden="1"/>
    </xf>
    <xf numFmtId="0" fontId="19" fillId="0" borderId="21" xfId="0" applyFont="1" applyFill="1" applyBorder="1" applyAlignment="1" applyProtection="1">
      <alignment horizontal="center" vertical="center"/>
      <protection hidden="1"/>
    </xf>
    <xf numFmtId="0" fontId="20" fillId="0" borderId="21" xfId="0" applyFont="1" applyFill="1" applyBorder="1" applyAlignment="1">
      <alignment vertical="center"/>
    </xf>
    <xf numFmtId="0" fontId="9" fillId="0" borderId="14" xfId="0" applyFont="1" applyFill="1" applyBorder="1" applyAlignment="1" applyProtection="1">
      <alignment horizontal="left" vertical="center" indent="1"/>
      <protection hidden="1"/>
    </xf>
    <xf numFmtId="0" fontId="9" fillId="0" borderId="12" xfId="0" applyFont="1" applyFill="1" applyBorder="1" applyAlignment="1" applyProtection="1">
      <alignment horizontal="left" vertical="center" indent="1"/>
      <protection hidden="1"/>
    </xf>
    <xf numFmtId="0" fontId="9" fillId="0" borderId="19" xfId="0" applyFont="1" applyFill="1" applyBorder="1" applyAlignment="1" applyProtection="1">
      <alignment horizontal="left" vertical="center" indent="1"/>
      <protection hidden="1"/>
    </xf>
    <xf numFmtId="0" fontId="16" fillId="0" borderId="21" xfId="0" applyFont="1" applyFill="1" applyBorder="1" applyAlignment="1" applyProtection="1">
      <alignment vertical="center"/>
      <protection hidden="1"/>
    </xf>
    <xf numFmtId="0" fontId="16" fillId="0" borderId="22" xfId="0" applyFont="1" applyFill="1" applyBorder="1" applyAlignment="1" applyProtection="1">
      <alignment vertical="center"/>
      <protection hidden="1"/>
    </xf>
    <xf numFmtId="191" fontId="0" fillId="36" borderId="0" xfId="0" applyNumberFormat="1" applyFill="1" applyAlignment="1">
      <alignment vertical="center"/>
    </xf>
    <xf numFmtId="0" fontId="19" fillId="0" borderId="21" xfId="0" applyFont="1" applyFill="1" applyBorder="1" applyAlignment="1" applyProtection="1">
      <alignment horizontal="center" vertical="center" wrapText="1"/>
      <protection hidden="1"/>
    </xf>
    <xf numFmtId="41" fontId="9" fillId="0" borderId="21" xfId="0" applyNumberFormat="1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horizontal="left" vertical="center" indent="1"/>
      <protection hidden="1"/>
    </xf>
    <xf numFmtId="191" fontId="9" fillId="0" borderId="11" xfId="0" applyNumberFormat="1" applyFont="1" applyFill="1" applyBorder="1" applyAlignment="1" applyProtection="1">
      <alignment vertical="center"/>
      <protection hidden="1"/>
    </xf>
    <xf numFmtId="41" fontId="9" fillId="0" borderId="23" xfId="0" applyNumberFormat="1" applyFont="1" applyFill="1" applyBorder="1" applyAlignment="1" applyProtection="1">
      <alignment vertical="center"/>
      <protection/>
    </xf>
    <xf numFmtId="191" fontId="9" fillId="0" borderId="12" xfId="0" applyNumberFormat="1" applyFont="1" applyFill="1" applyBorder="1" applyAlignment="1" applyProtection="1">
      <alignment horizontal="right" vertical="center"/>
      <protection hidden="1"/>
    </xf>
    <xf numFmtId="191" fontId="9" fillId="0" borderId="12" xfId="0" applyNumberFormat="1" applyFont="1" applyFill="1" applyBorder="1" applyAlignment="1" applyProtection="1">
      <alignment vertical="center"/>
      <protection hidden="1"/>
    </xf>
    <xf numFmtId="191" fontId="9" fillId="0" borderId="19" xfId="0" applyNumberFormat="1" applyFont="1" applyFill="1" applyBorder="1" applyAlignment="1" applyProtection="1">
      <alignment vertical="center"/>
      <protection hidden="1"/>
    </xf>
    <xf numFmtId="41" fontId="9" fillId="0" borderId="22" xfId="0" applyNumberFormat="1" applyFont="1" applyFill="1" applyBorder="1" applyAlignment="1" applyProtection="1">
      <alignment vertical="center"/>
      <protection/>
    </xf>
    <xf numFmtId="41" fontId="9" fillId="0" borderId="12" xfId="0" applyNumberFormat="1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9" fillId="0" borderId="20" xfId="0" applyFont="1" applyFill="1" applyBorder="1" applyAlignment="1" applyProtection="1">
      <alignment horizontal="left" vertical="center" indent="1"/>
      <protection hidden="1"/>
    </xf>
    <xf numFmtId="41" fontId="9" fillId="0" borderId="20" xfId="0" applyNumberFormat="1" applyFont="1" applyFill="1" applyBorder="1" applyAlignment="1" applyProtection="1">
      <alignment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hidden="1"/>
    </xf>
    <xf numFmtId="190" fontId="9" fillId="0" borderId="25" xfId="0" applyNumberFormat="1" applyFont="1" applyFill="1" applyBorder="1" applyAlignment="1" applyProtection="1">
      <alignment vertical="center"/>
      <protection hidden="1"/>
    </xf>
    <xf numFmtId="41" fontId="9" fillId="0" borderId="26" xfId="0" applyNumberFormat="1" applyFont="1" applyFill="1" applyBorder="1" applyAlignment="1" applyProtection="1">
      <alignment vertical="center"/>
      <protection locked="0"/>
    </xf>
    <xf numFmtId="190" fontId="9" fillId="0" borderId="12" xfId="0" applyNumberFormat="1" applyFont="1" applyFill="1" applyBorder="1" applyAlignment="1" applyProtection="1">
      <alignment vertical="center"/>
      <protection hidden="1"/>
    </xf>
    <xf numFmtId="41" fontId="9" fillId="0" borderId="21" xfId="0" applyNumberFormat="1" applyFont="1" applyFill="1" applyBorder="1" applyAlignment="1" applyProtection="1">
      <alignment vertical="center"/>
      <protection locked="0"/>
    </xf>
    <xf numFmtId="0" fontId="22" fillId="36" borderId="0" xfId="0" applyFont="1" applyFill="1" applyBorder="1" applyAlignment="1" applyProtection="1">
      <alignment horizontal="centerContinuous" vertical="center"/>
      <protection hidden="1"/>
    </xf>
    <xf numFmtId="0" fontId="22" fillId="36" borderId="27" xfId="0" applyFont="1" applyFill="1" applyBorder="1" applyAlignment="1" applyProtection="1">
      <alignment horizontal="centerContinuous" vertical="center"/>
      <protection hidden="1"/>
    </xf>
    <xf numFmtId="0" fontId="0" fillId="36" borderId="28" xfId="0" applyFill="1" applyBorder="1" applyAlignment="1">
      <alignment vertical="center"/>
    </xf>
    <xf numFmtId="3" fontId="23" fillId="0" borderId="29" xfId="0" applyNumberFormat="1" applyFont="1" applyBorder="1" applyAlignment="1" applyProtection="1">
      <alignment vertical="center" wrapText="1"/>
      <protection locked="0"/>
    </xf>
    <xf numFmtId="0" fontId="21" fillId="37" borderId="10" xfId="0" applyFont="1" applyFill="1" applyBorder="1" applyAlignment="1">
      <alignment horizontal="centerContinuous" vertical="center"/>
    </xf>
    <xf numFmtId="41" fontId="13" fillId="37" borderId="10" xfId="0" applyNumberFormat="1" applyFont="1" applyFill="1" applyBorder="1" applyAlignment="1">
      <alignment horizontal="centerContinuous" vertical="center"/>
    </xf>
    <xf numFmtId="41" fontId="13" fillId="37" borderId="30" xfId="0" applyNumberFormat="1" applyFont="1" applyFill="1" applyBorder="1" applyAlignment="1">
      <alignment horizontal="centerContinuous" vertical="center"/>
    </xf>
    <xf numFmtId="191" fontId="13" fillId="37" borderId="10" xfId="0" applyNumberFormat="1" applyFont="1" applyFill="1" applyBorder="1" applyAlignment="1">
      <alignment horizontal="centerContinuous" vertical="center"/>
    </xf>
    <xf numFmtId="0" fontId="21" fillId="37" borderId="10" xfId="0" applyFont="1" applyFill="1" applyBorder="1" applyAlignment="1" applyProtection="1">
      <alignment horizontal="centerContinuous" vertical="center"/>
      <protection hidden="1"/>
    </xf>
    <xf numFmtId="0" fontId="21" fillId="37" borderId="30" xfId="0" applyFont="1" applyFill="1" applyBorder="1" applyAlignment="1">
      <alignment horizontal="centerContinuous" vertical="center"/>
    </xf>
    <xf numFmtId="0" fontId="21" fillId="37" borderId="31" xfId="0" applyFont="1" applyFill="1" applyBorder="1" applyAlignment="1">
      <alignment horizontal="left" vertical="center" indent="1"/>
    </xf>
    <xf numFmtId="41" fontId="21" fillId="37" borderId="31" xfId="0" applyNumberFormat="1" applyFont="1" applyFill="1" applyBorder="1" applyAlignment="1" applyProtection="1">
      <alignment vertical="center"/>
      <protection locked="0"/>
    </xf>
    <xf numFmtId="0" fontId="21" fillId="37" borderId="32" xfId="0" applyFont="1" applyFill="1" applyBorder="1" applyAlignment="1">
      <alignment horizontal="center" vertical="center"/>
    </xf>
    <xf numFmtId="41" fontId="21" fillId="37" borderId="21" xfId="0" applyNumberFormat="1" applyFont="1" applyFill="1" applyBorder="1" applyAlignment="1" applyProtection="1">
      <alignment vertical="center"/>
      <protection/>
    </xf>
    <xf numFmtId="0" fontId="66" fillId="36" borderId="0" xfId="0" applyFont="1" applyFill="1" applyBorder="1" applyAlignment="1" applyProtection="1">
      <alignment horizontal="left" vertical="center"/>
      <protection hidden="1"/>
    </xf>
    <xf numFmtId="0" fontId="66" fillId="36" borderId="27" xfId="0" applyFont="1" applyFill="1" applyBorder="1" applyAlignment="1" applyProtection="1">
      <alignment horizontal="left" vertical="center"/>
      <protection hidden="1"/>
    </xf>
    <xf numFmtId="3" fontId="67" fillId="38" borderId="33" xfId="0" applyNumberFormat="1" applyFont="1" applyFill="1" applyBorder="1" applyAlignment="1">
      <alignment horizontal="center" vertical="center" wrapText="1"/>
    </xf>
    <xf numFmtId="3" fontId="67" fillId="38" borderId="34" xfId="0" applyNumberFormat="1" applyFont="1" applyFill="1" applyBorder="1" applyAlignment="1">
      <alignment horizontal="center" vertical="center" wrapText="1"/>
    </xf>
    <xf numFmtId="0" fontId="67" fillId="38" borderId="34" xfId="0" applyFont="1" applyFill="1" applyBorder="1" applyAlignment="1">
      <alignment horizontal="center" vertical="center" wrapText="1"/>
    </xf>
    <xf numFmtId="0" fontId="67" fillId="38" borderId="35" xfId="0" applyFont="1" applyFill="1" applyBorder="1" applyAlignment="1">
      <alignment horizontal="center" vertical="center" wrapText="1"/>
    </xf>
    <xf numFmtId="194" fontId="67" fillId="38" borderId="33" xfId="0" applyNumberFormat="1" applyFont="1" applyFill="1" applyBorder="1" applyAlignment="1">
      <alignment horizontal="center" vertical="center" wrapText="1"/>
    </xf>
    <xf numFmtId="3" fontId="67" fillId="39" borderId="33" xfId="0" applyNumberFormat="1" applyFont="1" applyFill="1" applyBorder="1" applyAlignment="1">
      <alignment horizontal="center" vertical="center" wrapText="1"/>
    </xf>
    <xf numFmtId="3" fontId="67" fillId="39" borderId="34" xfId="0" applyNumberFormat="1" applyFont="1" applyFill="1" applyBorder="1" applyAlignment="1">
      <alignment horizontal="center" vertical="center" wrapText="1"/>
    </xf>
    <xf numFmtId="0" fontId="67" fillId="39" borderId="34" xfId="0" applyFont="1" applyFill="1" applyBorder="1" applyAlignment="1">
      <alignment horizontal="center" vertical="center" wrapText="1"/>
    </xf>
    <xf numFmtId="0" fontId="67" fillId="39" borderId="35" xfId="0" applyFont="1" applyFill="1" applyBorder="1" applyAlignment="1">
      <alignment horizontal="center" vertical="center" wrapText="1"/>
    </xf>
    <xf numFmtId="0" fontId="67" fillId="38" borderId="33" xfId="0" applyFont="1" applyFill="1" applyBorder="1" applyAlignment="1">
      <alignment horizontal="center" vertical="center" wrapText="1"/>
    </xf>
    <xf numFmtId="0" fontId="67" fillId="39" borderId="33" xfId="0" applyFont="1" applyFill="1" applyBorder="1" applyAlignment="1">
      <alignment horizontal="center" vertical="center" wrapText="1"/>
    </xf>
    <xf numFmtId="218" fontId="10" fillId="35" borderId="10" xfId="0" applyNumberFormat="1" applyFont="1" applyFill="1" applyBorder="1" applyAlignment="1" applyProtection="1">
      <alignment vertical="center"/>
      <protection hidden="1"/>
    </xf>
    <xf numFmtId="41" fontId="0" fillId="36" borderId="0" xfId="0" applyNumberFormat="1" applyFill="1" applyAlignment="1" applyProtection="1">
      <alignment vertical="center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hidden="1"/>
    </xf>
    <xf numFmtId="0" fontId="1" fillId="33" borderId="13" xfId="0" applyFont="1" applyFill="1" applyBorder="1" applyAlignment="1" applyProtection="1">
      <alignment horizontal="center" vertical="center" wrapText="1"/>
      <protection hidden="1"/>
    </xf>
    <xf numFmtId="0" fontId="1" fillId="33" borderId="25" xfId="0" applyFont="1" applyFill="1" applyBorder="1" applyAlignment="1" applyProtection="1">
      <alignment horizontal="center" vertical="center"/>
      <protection hidden="1"/>
    </xf>
    <xf numFmtId="0" fontId="1" fillId="33" borderId="25" xfId="0" applyFont="1" applyFill="1" applyBorder="1" applyAlignment="1" applyProtection="1">
      <alignment horizontal="center" vertical="center" wrapText="1"/>
      <protection hidden="1"/>
    </xf>
    <xf numFmtId="0" fontId="1" fillId="33" borderId="16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/>
      <protection hidden="1"/>
    </xf>
    <xf numFmtId="0" fontId="1" fillId="33" borderId="36" xfId="0" applyFont="1" applyFill="1" applyBorder="1" applyAlignment="1" applyProtection="1">
      <alignment horizontal="center"/>
      <protection hidden="1"/>
    </xf>
    <xf numFmtId="0" fontId="1" fillId="33" borderId="37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1" fillId="33" borderId="36" xfId="0" applyFont="1" applyFill="1" applyBorder="1" applyAlignment="1" applyProtection="1">
      <alignment horizontal="center" vertical="center" wrapText="1"/>
      <protection hidden="1"/>
    </xf>
    <xf numFmtId="0" fontId="1" fillId="33" borderId="37" xfId="0" applyFont="1" applyFill="1" applyBorder="1" applyAlignment="1" applyProtection="1">
      <alignment horizontal="center" vertical="center" wrapText="1"/>
      <protection hidden="1"/>
    </xf>
    <xf numFmtId="0" fontId="26" fillId="36" borderId="38" xfId="0" applyFont="1" applyFill="1" applyBorder="1" applyAlignment="1" applyProtection="1">
      <alignment vertical="center" wrapText="1"/>
      <protection locked="0"/>
    </xf>
    <xf numFmtId="0" fontId="22" fillId="36" borderId="38" xfId="0" applyFont="1" applyFill="1" applyBorder="1" applyAlignment="1" applyProtection="1">
      <alignment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0</xdr:row>
      <xdr:rowOff>104775</xdr:rowOff>
    </xdr:from>
    <xdr:to>
      <xdr:col>3</xdr:col>
      <xdr:colOff>1628775</xdr:colOff>
      <xdr:row>1</xdr:row>
      <xdr:rowOff>47625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495425" y="104775"/>
          <a:ext cx="4676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TRA CỨU ĐỊNH MỨC 
</a:t>
          </a:r>
          <a:r>
            <a:rPr lang="en-US" cap="none" sz="16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CHI PHÍ QUẢN LÝ DỰ ÁN VÀ TƯ VẤN ĐẦU TƯ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266700</xdr:rowOff>
    </xdr:from>
    <xdr:to>
      <xdr:col>1</xdr:col>
      <xdr:colOff>1114425</xdr:colOff>
      <xdr:row>1</xdr:row>
      <xdr:rowOff>152400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6700"/>
          <a:ext cx="1495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P128"/>
  <sheetViews>
    <sheetView showGridLines="0" tabSelected="1" zoomScalePageLayoutView="0" workbookViewId="0" topLeftCell="A1">
      <selection activeCell="C6" sqref="C6"/>
    </sheetView>
  </sheetViews>
  <sheetFormatPr defaultColWidth="0" defaultRowHeight="15" zeroHeight="1"/>
  <cols>
    <col min="1" max="1" width="6.00390625" style="77" customWidth="1"/>
    <col min="2" max="2" width="37.421875" style="77" customWidth="1"/>
    <col min="3" max="3" width="24.7109375" style="77" customWidth="1"/>
    <col min="4" max="4" width="28.00390625" style="77" customWidth="1"/>
    <col min="5" max="5" width="8.28125" style="75" customWidth="1"/>
    <col min="6" max="6" width="9.140625" style="75" hidden="1" customWidth="1"/>
    <col min="7" max="7" width="15.57421875" style="75" hidden="1" customWidth="1"/>
    <col min="8" max="9" width="9.140625" style="75" hidden="1" customWidth="1"/>
    <col min="10" max="10" width="8.8515625" style="75" hidden="1" customWidth="1"/>
    <col min="11" max="11" width="15.140625" style="63" hidden="1" customWidth="1"/>
    <col min="12" max="12" width="5.00390625" style="63" hidden="1" customWidth="1"/>
    <col min="13" max="14" width="16.28125" style="63" hidden="1" customWidth="1"/>
    <col min="15" max="15" width="9.140625" style="63" hidden="1" customWidth="1"/>
    <col min="16" max="16" width="12.140625" style="63" hidden="1" customWidth="1"/>
    <col min="17" max="17" width="12.28125" style="77" hidden="1" customWidth="1"/>
    <col min="18" max="18" width="9.421875" style="63" hidden="1" customWidth="1"/>
    <col min="19" max="19" width="34.421875" style="63" hidden="1" customWidth="1"/>
    <col min="20" max="30" width="10.57421875" style="63" hidden="1" customWidth="1"/>
    <col min="31" max="31" width="10.140625" style="63" hidden="1" customWidth="1"/>
    <col min="32" max="32" width="9.140625" style="63" hidden="1" customWidth="1"/>
    <col min="33" max="33" width="27.00390625" style="63" hidden="1" customWidth="1"/>
    <col min="34" max="38" width="20.8515625" style="63" hidden="1" customWidth="1"/>
    <col min="39" max="39" width="5.00390625" style="63" hidden="1" customWidth="1"/>
    <col min="40" max="40" width="27.140625" style="63" hidden="1" customWidth="1"/>
    <col min="41" max="45" width="21.8515625" style="63" hidden="1" customWidth="1"/>
    <col min="46" max="47" width="9.140625" style="63" hidden="1" customWidth="1"/>
    <col min="48" max="48" width="34.7109375" style="63" hidden="1" customWidth="1"/>
    <col min="49" max="49" width="9.421875" style="63" hidden="1" customWidth="1"/>
    <col min="50" max="60" width="9.140625" style="63" hidden="1" customWidth="1"/>
    <col min="61" max="61" width="32.28125" style="63" hidden="1" customWidth="1"/>
    <col min="62" max="73" width="9.140625" style="63" hidden="1" customWidth="1"/>
    <col min="74" max="74" width="32.28125" style="63" hidden="1" customWidth="1"/>
    <col min="75" max="75" width="13.00390625" style="63" hidden="1" customWidth="1"/>
    <col min="76" max="76" width="15.28125" style="63" hidden="1" customWidth="1"/>
    <col min="77" max="85" width="9.140625" style="63" hidden="1" customWidth="1"/>
    <col min="86" max="86" width="28.421875" style="63" hidden="1" customWidth="1"/>
    <col min="87" max="94" width="11.8515625" style="63" hidden="1" customWidth="1"/>
    <col min="95" max="254" width="9.140625" style="77" hidden="1" customWidth="1"/>
    <col min="255" max="255" width="0.5625" style="77" hidden="1" customWidth="1"/>
    <col min="256" max="16384" width="2.8515625" style="77" hidden="1" customWidth="1"/>
  </cols>
  <sheetData>
    <row r="1" ht="45.75" customHeight="1">
      <c r="J1" s="76"/>
    </row>
    <row r="2" spans="1:10" ht="29.25" customHeight="1" thickBot="1">
      <c r="A2" s="120"/>
      <c r="B2" s="120"/>
      <c r="C2" s="120"/>
      <c r="D2" s="120"/>
      <c r="J2" s="76"/>
    </row>
    <row r="3" ht="21.75" customHeight="1" thickTop="1">
      <c r="J3" s="76"/>
    </row>
    <row r="4" spans="2:94" ht="22.5" customHeight="1">
      <c r="B4" s="122" t="s">
        <v>60</v>
      </c>
      <c r="C4" s="123"/>
      <c r="D4" s="124"/>
      <c r="J4" s="76"/>
      <c r="R4" s="1" t="s">
        <v>23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G4" s="33" t="s">
        <v>26</v>
      </c>
      <c r="AH4" s="34"/>
      <c r="AI4" s="34"/>
      <c r="AJ4" s="34"/>
      <c r="AK4" s="34"/>
      <c r="AL4" s="34"/>
      <c r="AM4" s="34"/>
      <c r="AN4" s="33" t="s">
        <v>27</v>
      </c>
      <c r="AO4" s="34"/>
      <c r="AP4" s="34"/>
      <c r="AQ4" s="34"/>
      <c r="AR4" s="34"/>
      <c r="AS4" s="34"/>
      <c r="AU4" s="1" t="s">
        <v>34</v>
      </c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H4" s="1" t="s">
        <v>36</v>
      </c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U4" s="1" t="s">
        <v>38</v>
      </c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H4" s="54" t="s">
        <v>85</v>
      </c>
      <c r="CI4" s="2"/>
      <c r="CJ4" s="2"/>
      <c r="CK4" s="2"/>
      <c r="CL4" s="2"/>
      <c r="CM4" s="2"/>
      <c r="CN4" s="2"/>
      <c r="CO4" s="2"/>
      <c r="CP4" s="2"/>
    </row>
    <row r="5" spans="2:94" ht="21" customHeight="1">
      <c r="B5" s="94" t="s">
        <v>41</v>
      </c>
      <c r="C5" s="51">
        <v>4</v>
      </c>
      <c r="D5" s="49"/>
      <c r="J5" s="76"/>
      <c r="P5" s="63" t="s">
        <v>75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3" t="s">
        <v>8</v>
      </c>
      <c r="AE5" s="3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U5" s="1" t="s">
        <v>22</v>
      </c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H5" s="2"/>
      <c r="CI5" s="2"/>
      <c r="CJ5" s="2"/>
      <c r="CK5" s="2"/>
      <c r="CL5" s="2"/>
      <c r="CM5" s="2"/>
      <c r="CN5" s="2"/>
      <c r="CO5" s="2"/>
      <c r="CP5" s="2"/>
    </row>
    <row r="6" spans="2:94" ht="26.25" customHeight="1">
      <c r="B6" s="95" t="s">
        <v>62</v>
      </c>
      <c r="C6" s="52">
        <v>3</v>
      </c>
      <c r="D6" s="100">
        <f>IF(C6=1,"Chi phí TK=Chi phí lập BCKT, Dự án &gt;= 2 bước","")</f>
      </c>
      <c r="J6" s="76"/>
      <c r="N6" s="63" t="s">
        <v>72</v>
      </c>
      <c r="P6" s="63" t="s">
        <v>63</v>
      </c>
      <c r="R6" s="147" t="s">
        <v>0</v>
      </c>
      <c r="S6" s="147" t="s">
        <v>1</v>
      </c>
      <c r="T6" s="162" t="s">
        <v>2</v>
      </c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G6" s="35"/>
      <c r="AH6" s="155"/>
      <c r="AI6" s="155"/>
      <c r="AJ6" s="155"/>
      <c r="AK6" s="86"/>
      <c r="AL6" s="86" t="s">
        <v>8</v>
      </c>
      <c r="AM6" s="34"/>
      <c r="AN6" s="35"/>
      <c r="AO6" s="91"/>
      <c r="AP6" s="91"/>
      <c r="AQ6" s="91"/>
      <c r="AR6" s="91"/>
      <c r="AS6" s="91" t="s">
        <v>8</v>
      </c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40" t="s">
        <v>8</v>
      </c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40" t="s">
        <v>8</v>
      </c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40" t="s">
        <v>21</v>
      </c>
      <c r="CH6" s="55" t="s">
        <v>86</v>
      </c>
      <c r="CI6" s="56">
        <v>5</v>
      </c>
      <c r="CJ6" s="57">
        <v>10</v>
      </c>
      <c r="CK6" s="57">
        <v>50</v>
      </c>
      <c r="CL6" s="57">
        <v>100</v>
      </c>
      <c r="CM6" s="57">
        <v>500</v>
      </c>
      <c r="CN6" s="57">
        <v>1000</v>
      </c>
      <c r="CO6" s="57">
        <v>10000</v>
      </c>
      <c r="CP6" s="58">
        <v>20000</v>
      </c>
    </row>
    <row r="7" spans="2:94" ht="21" customHeight="1">
      <c r="B7" s="95" t="s">
        <v>61</v>
      </c>
      <c r="C7" s="52">
        <v>3</v>
      </c>
      <c r="D7" s="93" t="s">
        <v>118</v>
      </c>
      <c r="J7" s="76"/>
      <c r="N7" s="63" t="s">
        <v>73</v>
      </c>
      <c r="P7" s="63" t="s">
        <v>64</v>
      </c>
      <c r="R7" s="148"/>
      <c r="S7" s="148"/>
      <c r="T7" s="87">
        <v>10</v>
      </c>
      <c r="U7" s="4">
        <v>20</v>
      </c>
      <c r="V7" s="4">
        <v>50</v>
      </c>
      <c r="W7" s="4">
        <v>100</v>
      </c>
      <c r="X7" s="4">
        <v>200</v>
      </c>
      <c r="Y7" s="4">
        <v>500</v>
      </c>
      <c r="Z7" s="42">
        <v>1000</v>
      </c>
      <c r="AA7" s="42">
        <v>2000</v>
      </c>
      <c r="AB7" s="42">
        <v>5000</v>
      </c>
      <c r="AC7" s="42">
        <v>10000</v>
      </c>
      <c r="AD7" s="42">
        <v>20000</v>
      </c>
      <c r="AE7" s="42">
        <v>30000</v>
      </c>
      <c r="AG7" s="147" t="s">
        <v>10</v>
      </c>
      <c r="AH7" s="152" t="s">
        <v>12</v>
      </c>
      <c r="AI7" s="153"/>
      <c r="AJ7" s="153"/>
      <c r="AK7" s="153"/>
      <c r="AL7" s="154"/>
      <c r="AM7" s="34"/>
      <c r="AN7" s="147" t="s">
        <v>10</v>
      </c>
      <c r="AO7" s="152" t="s">
        <v>12</v>
      </c>
      <c r="AP7" s="153"/>
      <c r="AQ7" s="153"/>
      <c r="AR7" s="153"/>
      <c r="AS7" s="153"/>
      <c r="AU7" s="150" t="s">
        <v>0</v>
      </c>
      <c r="AV7" s="147" t="s">
        <v>1</v>
      </c>
      <c r="AW7" s="149" t="s">
        <v>19</v>
      </c>
      <c r="AX7" s="149"/>
      <c r="AY7" s="149"/>
      <c r="AZ7" s="149"/>
      <c r="BA7" s="149"/>
      <c r="BB7" s="149"/>
      <c r="BC7" s="149"/>
      <c r="BD7" s="149"/>
      <c r="BE7" s="149"/>
      <c r="BF7" s="149"/>
      <c r="BH7" s="150" t="s">
        <v>0</v>
      </c>
      <c r="BI7" s="147" t="s">
        <v>1</v>
      </c>
      <c r="BJ7" s="149" t="s">
        <v>19</v>
      </c>
      <c r="BK7" s="149"/>
      <c r="BL7" s="149"/>
      <c r="BM7" s="149"/>
      <c r="BN7" s="149"/>
      <c r="BO7" s="149"/>
      <c r="BP7" s="149"/>
      <c r="BQ7" s="149"/>
      <c r="BR7" s="149"/>
      <c r="BS7" s="149"/>
      <c r="BU7" s="150" t="s">
        <v>0</v>
      </c>
      <c r="BV7" s="147" t="s">
        <v>1</v>
      </c>
      <c r="BW7" s="149" t="s">
        <v>19</v>
      </c>
      <c r="BX7" s="149"/>
      <c r="BY7" s="149"/>
      <c r="BZ7" s="149"/>
      <c r="CA7" s="149"/>
      <c r="CB7" s="149"/>
      <c r="CC7" s="149"/>
      <c r="CD7" s="149"/>
      <c r="CE7" s="149"/>
      <c r="CF7" s="149"/>
      <c r="CH7" s="59" t="s">
        <v>87</v>
      </c>
      <c r="CI7" s="60">
        <v>0.32</v>
      </c>
      <c r="CJ7" s="60">
        <v>0.21</v>
      </c>
      <c r="CK7" s="60">
        <v>0.16</v>
      </c>
      <c r="CL7" s="60">
        <v>0.13</v>
      </c>
      <c r="CM7" s="60">
        <v>0.06</v>
      </c>
      <c r="CN7" s="60">
        <v>0.04</v>
      </c>
      <c r="CO7" s="60">
        <v>0.012</v>
      </c>
      <c r="CP7" s="60">
        <v>0.008</v>
      </c>
    </row>
    <row r="8" spans="2:94" ht="21" customHeight="1">
      <c r="B8" s="95" t="s">
        <v>74</v>
      </c>
      <c r="C8" s="52">
        <v>1</v>
      </c>
      <c r="D8" s="92">
        <f>IF(AND(C8=1,(C9+C10)&lt;15000000000),"Ctrình dưới 15 tỷ không lập DAĐT",IF(AND(C8=2,(C9+C10)&gt;=15000000000),"Ctrình từ 15 tỷ phải lập DAĐT",""))</f>
      </c>
      <c r="J8" s="76"/>
      <c r="R8" s="5">
        <v>1</v>
      </c>
      <c r="S8" s="6" t="s">
        <v>46</v>
      </c>
      <c r="T8" s="138">
        <v>3.446</v>
      </c>
      <c r="U8" s="138">
        <v>2.923</v>
      </c>
      <c r="V8" s="138">
        <v>2.61</v>
      </c>
      <c r="W8" s="138">
        <v>2.017</v>
      </c>
      <c r="X8" s="138">
        <v>1.886</v>
      </c>
      <c r="Y8" s="138">
        <v>1.514</v>
      </c>
      <c r="Z8" s="138">
        <v>1.239</v>
      </c>
      <c r="AA8" s="138">
        <v>0.958</v>
      </c>
      <c r="AB8" s="138">
        <v>0.711</v>
      </c>
      <c r="AC8" s="138">
        <v>0.51</v>
      </c>
      <c r="AD8" s="138">
        <v>0.381</v>
      </c>
      <c r="AE8" s="138">
        <v>0.305</v>
      </c>
      <c r="AG8" s="148" t="s">
        <v>11</v>
      </c>
      <c r="AH8" s="36" t="s">
        <v>13</v>
      </c>
      <c r="AI8" s="36" t="s">
        <v>14</v>
      </c>
      <c r="AJ8" s="36" t="s">
        <v>15</v>
      </c>
      <c r="AK8" s="36" t="s">
        <v>17</v>
      </c>
      <c r="AL8" s="36" t="s">
        <v>18</v>
      </c>
      <c r="AM8" s="34"/>
      <c r="AN8" s="148" t="s">
        <v>11</v>
      </c>
      <c r="AO8" s="36" t="s">
        <v>13</v>
      </c>
      <c r="AP8" s="36" t="s">
        <v>14</v>
      </c>
      <c r="AQ8" s="36" t="s">
        <v>15</v>
      </c>
      <c r="AR8" s="36" t="s">
        <v>17</v>
      </c>
      <c r="AS8" s="36" t="s">
        <v>18</v>
      </c>
      <c r="AU8" s="151"/>
      <c r="AV8" s="148"/>
      <c r="AW8" s="41">
        <v>10</v>
      </c>
      <c r="AX8" s="4">
        <v>20</v>
      </c>
      <c r="AY8" s="4">
        <v>50</v>
      </c>
      <c r="AZ8" s="4">
        <v>100</v>
      </c>
      <c r="BA8" s="4">
        <v>200</v>
      </c>
      <c r="BB8" s="4">
        <v>500</v>
      </c>
      <c r="BC8" s="42">
        <v>1000</v>
      </c>
      <c r="BD8" s="42">
        <v>2000</v>
      </c>
      <c r="BE8" s="42">
        <v>5000</v>
      </c>
      <c r="BF8" s="42">
        <v>8000</v>
      </c>
      <c r="BH8" s="151"/>
      <c r="BI8" s="148"/>
      <c r="BJ8" s="41">
        <v>10</v>
      </c>
      <c r="BK8" s="4">
        <v>20</v>
      </c>
      <c r="BL8" s="4">
        <v>50</v>
      </c>
      <c r="BM8" s="4">
        <v>100</v>
      </c>
      <c r="BN8" s="4">
        <v>200</v>
      </c>
      <c r="BO8" s="4">
        <v>500</v>
      </c>
      <c r="BP8" s="42">
        <v>1000</v>
      </c>
      <c r="BQ8" s="42">
        <v>2000</v>
      </c>
      <c r="BR8" s="42">
        <v>5000</v>
      </c>
      <c r="BS8" s="42">
        <v>8000</v>
      </c>
      <c r="BU8" s="151"/>
      <c r="BV8" s="148"/>
      <c r="BW8" s="41">
        <v>10</v>
      </c>
      <c r="BX8" s="4">
        <v>20</v>
      </c>
      <c r="BY8" s="4">
        <v>50</v>
      </c>
      <c r="BZ8" s="4">
        <v>100</v>
      </c>
      <c r="CA8" s="4">
        <v>200</v>
      </c>
      <c r="CB8" s="4">
        <v>500</v>
      </c>
      <c r="CC8" s="42">
        <v>1000</v>
      </c>
      <c r="CD8" s="42">
        <v>2000</v>
      </c>
      <c r="CE8" s="42">
        <v>5000</v>
      </c>
      <c r="CF8" s="42">
        <v>8000</v>
      </c>
      <c r="CH8" s="61" t="s">
        <v>88</v>
      </c>
      <c r="CI8" s="62">
        <v>0.5</v>
      </c>
      <c r="CJ8" s="62">
        <v>0.34</v>
      </c>
      <c r="CK8" s="62">
        <v>0.24</v>
      </c>
      <c r="CL8" s="62">
        <v>0.18</v>
      </c>
      <c r="CM8" s="62">
        <v>0.1</v>
      </c>
      <c r="CN8" s="62">
        <v>0.03</v>
      </c>
      <c r="CO8" s="62">
        <v>0.02</v>
      </c>
      <c r="CP8" s="62">
        <v>0.012</v>
      </c>
    </row>
    <row r="9" spans="2:94" ht="21" customHeight="1">
      <c r="B9" s="95" t="s">
        <v>106</v>
      </c>
      <c r="C9" s="121">
        <f>14130*0.4*3*6760000*0.8</f>
        <v>91698048000</v>
      </c>
      <c r="D9" s="97" t="s">
        <v>119</v>
      </c>
      <c r="J9" s="76"/>
      <c r="P9" s="63" t="str">
        <f>IF(C6=1,"","Cấp đặc biệt")</f>
        <v>Cấp đặc biệt</v>
      </c>
      <c r="R9" s="7">
        <v>2</v>
      </c>
      <c r="S9" s="8" t="s">
        <v>47</v>
      </c>
      <c r="T9" s="138">
        <v>3.557</v>
      </c>
      <c r="U9" s="138">
        <v>3.018</v>
      </c>
      <c r="V9" s="138">
        <v>2.694</v>
      </c>
      <c r="W9" s="138">
        <v>2.082</v>
      </c>
      <c r="X9" s="138">
        <v>1.947</v>
      </c>
      <c r="Y9" s="138">
        <v>1.564</v>
      </c>
      <c r="Z9" s="138">
        <v>1.279</v>
      </c>
      <c r="AA9" s="138">
        <v>1.103</v>
      </c>
      <c r="AB9" s="138">
        <v>0.734</v>
      </c>
      <c r="AC9" s="138">
        <v>0.527</v>
      </c>
      <c r="AD9" s="138">
        <v>0.393</v>
      </c>
      <c r="AE9" s="138">
        <v>0.314</v>
      </c>
      <c r="AG9" s="20"/>
      <c r="AH9" s="36">
        <v>1</v>
      </c>
      <c r="AI9" s="36">
        <v>2</v>
      </c>
      <c r="AJ9" s="36">
        <v>3</v>
      </c>
      <c r="AK9" s="36">
        <v>4</v>
      </c>
      <c r="AL9" s="36">
        <v>5</v>
      </c>
      <c r="AM9" s="34"/>
      <c r="AN9" s="20"/>
      <c r="AO9" s="36">
        <v>1</v>
      </c>
      <c r="AP9" s="36">
        <v>2</v>
      </c>
      <c r="AQ9" s="36">
        <v>3</v>
      </c>
      <c r="AR9" s="36">
        <v>4</v>
      </c>
      <c r="AS9" s="36">
        <v>5</v>
      </c>
      <c r="AU9" s="32">
        <v>1</v>
      </c>
      <c r="AV9" s="31" t="s">
        <v>3</v>
      </c>
      <c r="AW9" s="143">
        <v>0.258</v>
      </c>
      <c r="AX9" s="136">
        <v>0.223</v>
      </c>
      <c r="AY9" s="136">
        <v>0.172</v>
      </c>
      <c r="AZ9" s="136">
        <v>0.143</v>
      </c>
      <c r="BA9" s="136">
        <v>0.108</v>
      </c>
      <c r="BB9" s="136">
        <v>0.083</v>
      </c>
      <c r="BC9" s="136">
        <v>0.068</v>
      </c>
      <c r="BD9" s="136">
        <v>0.044</v>
      </c>
      <c r="BE9" s="136">
        <v>0.033</v>
      </c>
      <c r="BF9" s="137">
        <v>0.028</v>
      </c>
      <c r="BH9" s="32">
        <v>1</v>
      </c>
      <c r="BI9" s="31" t="s">
        <v>3</v>
      </c>
      <c r="BJ9" s="143">
        <v>0.432</v>
      </c>
      <c r="BK9" s="136">
        <v>0.346</v>
      </c>
      <c r="BL9" s="136">
        <v>0.195</v>
      </c>
      <c r="BM9" s="136">
        <v>0.127</v>
      </c>
      <c r="BN9" s="136">
        <v>0.078</v>
      </c>
      <c r="BO9" s="136">
        <v>0.057</v>
      </c>
      <c r="BP9" s="136">
        <v>0.04</v>
      </c>
      <c r="BQ9" s="137">
        <v>0.032</v>
      </c>
      <c r="BR9" s="5">
        <v>0.022</v>
      </c>
      <c r="BS9" s="5">
        <v>0.019</v>
      </c>
      <c r="BU9" s="32">
        <v>1</v>
      </c>
      <c r="BV9" s="31" t="s">
        <v>3</v>
      </c>
      <c r="BW9" s="134">
        <v>3285</v>
      </c>
      <c r="BX9" s="135">
        <v>2853</v>
      </c>
      <c r="BY9" s="135">
        <v>2435</v>
      </c>
      <c r="BZ9" s="135">
        <v>1845</v>
      </c>
      <c r="CA9" s="135">
        <v>1546</v>
      </c>
      <c r="CB9" s="135">
        <v>1188</v>
      </c>
      <c r="CC9" s="136">
        <v>0.797</v>
      </c>
      <c r="CD9" s="136">
        <v>0.694</v>
      </c>
      <c r="CE9" s="136">
        <v>0.62</v>
      </c>
      <c r="CF9" s="136">
        <v>0.53</v>
      </c>
      <c r="CH9" s="2"/>
      <c r="CI9" s="2"/>
      <c r="CJ9" s="2"/>
      <c r="CK9" s="2"/>
      <c r="CL9" s="2"/>
      <c r="CM9" s="2"/>
      <c r="CN9" s="2"/>
      <c r="CO9" s="2"/>
      <c r="CP9" s="2"/>
    </row>
    <row r="10" spans="2:94" ht="21" customHeight="1" thickBot="1">
      <c r="B10" s="96" t="s">
        <v>107</v>
      </c>
      <c r="C10" s="53"/>
      <c r="D10" s="98" t="s">
        <v>108</v>
      </c>
      <c r="J10" s="76"/>
      <c r="P10" s="63" t="str">
        <f>IF(C6=1,"","Cấp 1")</f>
        <v>Cấp 1</v>
      </c>
      <c r="R10" s="7">
        <v>3</v>
      </c>
      <c r="S10" s="8" t="s">
        <v>48</v>
      </c>
      <c r="T10" s="138">
        <v>3.024</v>
      </c>
      <c r="U10" s="138">
        <v>2.566</v>
      </c>
      <c r="V10" s="138">
        <v>2.292</v>
      </c>
      <c r="W10" s="138">
        <v>1.771</v>
      </c>
      <c r="X10" s="138">
        <v>1.655</v>
      </c>
      <c r="Y10" s="138">
        <v>1.329</v>
      </c>
      <c r="Z10" s="138">
        <v>1.088</v>
      </c>
      <c r="AA10" s="138">
        <v>0.937</v>
      </c>
      <c r="AB10" s="138">
        <v>0.624</v>
      </c>
      <c r="AC10" s="138">
        <v>0.448</v>
      </c>
      <c r="AD10" s="138">
        <v>0.335</v>
      </c>
      <c r="AE10" s="138">
        <v>0.268</v>
      </c>
      <c r="AG10" s="46">
        <v>10</v>
      </c>
      <c r="AH10" s="143">
        <v>3.22</v>
      </c>
      <c r="AI10" s="136">
        <v>2.93</v>
      </c>
      <c r="AJ10" s="136">
        <v>2.67</v>
      </c>
      <c r="AK10" s="136">
        <v>2.36</v>
      </c>
      <c r="AL10" s="137">
        <v>2.07</v>
      </c>
      <c r="AM10" s="34"/>
      <c r="AN10" s="46">
        <v>10</v>
      </c>
      <c r="AO10" s="143">
        <v>4.66</v>
      </c>
      <c r="AP10" s="136">
        <v>4.22</v>
      </c>
      <c r="AQ10" s="136">
        <v>3.85</v>
      </c>
      <c r="AR10" s="136">
        <v>3.41</v>
      </c>
      <c r="AS10" s="137">
        <v>2.92</v>
      </c>
      <c r="AU10" s="9">
        <v>2</v>
      </c>
      <c r="AV10" s="43" t="s">
        <v>4</v>
      </c>
      <c r="AW10" s="144">
        <v>0.29</v>
      </c>
      <c r="AX10" s="141">
        <v>0.252</v>
      </c>
      <c r="AY10" s="141">
        <v>0.192</v>
      </c>
      <c r="AZ10" s="141">
        <v>0.146</v>
      </c>
      <c r="BA10" s="141">
        <v>0.113</v>
      </c>
      <c r="BB10" s="141">
        <v>0.087</v>
      </c>
      <c r="BC10" s="141">
        <v>0.066</v>
      </c>
      <c r="BD10" s="141">
        <v>0.053</v>
      </c>
      <c r="BE10" s="141">
        <v>0.038</v>
      </c>
      <c r="BF10" s="142">
        <v>0.031</v>
      </c>
      <c r="BH10" s="9">
        <v>2</v>
      </c>
      <c r="BI10" s="43" t="s">
        <v>4</v>
      </c>
      <c r="BJ10" s="144">
        <v>0.549</v>
      </c>
      <c r="BK10" s="141">
        <v>0.379</v>
      </c>
      <c r="BL10" s="141">
        <v>0.211</v>
      </c>
      <c r="BM10" s="141">
        <v>0.144</v>
      </c>
      <c r="BN10" s="141">
        <v>0.096</v>
      </c>
      <c r="BO10" s="141">
        <v>0.067</v>
      </c>
      <c r="BP10" s="141">
        <v>0.052</v>
      </c>
      <c r="BQ10" s="142">
        <v>0.041</v>
      </c>
      <c r="BR10" s="7">
        <v>0.027</v>
      </c>
      <c r="BS10" s="7">
        <v>0.023</v>
      </c>
      <c r="BU10" s="9">
        <v>2</v>
      </c>
      <c r="BV10" s="43" t="s">
        <v>4</v>
      </c>
      <c r="BW10" s="139">
        <v>3508</v>
      </c>
      <c r="BX10" s="140">
        <v>3137</v>
      </c>
      <c r="BY10" s="140">
        <v>2559</v>
      </c>
      <c r="BZ10" s="140">
        <v>2074</v>
      </c>
      <c r="CA10" s="140">
        <v>1604</v>
      </c>
      <c r="CB10" s="140">
        <v>1301</v>
      </c>
      <c r="CC10" s="141">
        <v>0.823</v>
      </c>
      <c r="CD10" s="141">
        <v>0.716</v>
      </c>
      <c r="CE10" s="141">
        <v>0.64</v>
      </c>
      <c r="CF10" s="142">
        <v>0.55</v>
      </c>
      <c r="CH10" s="13" t="s">
        <v>84</v>
      </c>
      <c r="CI10" s="16">
        <f>'Chi phi Du an- NHAVIET'!$C$34/1000000000</f>
        <v>107.11615306944132</v>
      </c>
      <c r="CJ10" s="15"/>
      <c r="CK10" s="2"/>
      <c r="CL10" s="2"/>
      <c r="CM10" s="2"/>
      <c r="CN10" s="2"/>
      <c r="CO10" s="2"/>
      <c r="CP10" s="2"/>
    </row>
    <row r="11" spans="2:94" ht="21" customHeight="1">
      <c r="B11" s="84"/>
      <c r="C11" s="85"/>
      <c r="J11" s="76"/>
      <c r="P11" s="63" t="str">
        <f>IF(C6=1,"","Cấp 2")</f>
        <v>Cấp 2</v>
      </c>
      <c r="R11" s="9">
        <v>4</v>
      </c>
      <c r="S11" s="8" t="s">
        <v>49</v>
      </c>
      <c r="T11" s="138">
        <v>3.263</v>
      </c>
      <c r="U11" s="138">
        <v>2.769</v>
      </c>
      <c r="V11" s="138">
        <v>2.473</v>
      </c>
      <c r="W11" s="138">
        <v>1.91</v>
      </c>
      <c r="X11" s="138">
        <v>1.786</v>
      </c>
      <c r="Y11" s="138">
        <v>1.434</v>
      </c>
      <c r="Z11" s="138">
        <v>1.174</v>
      </c>
      <c r="AA11" s="138">
        <v>1.012</v>
      </c>
      <c r="AB11" s="138">
        <v>0.674</v>
      </c>
      <c r="AC11" s="138">
        <v>0.484</v>
      </c>
      <c r="AD11" s="138">
        <v>0.361</v>
      </c>
      <c r="AE11" s="138">
        <v>0.289</v>
      </c>
      <c r="AG11" s="38">
        <v>20</v>
      </c>
      <c r="AH11" s="144">
        <v>2.81</v>
      </c>
      <c r="AI11" s="141">
        <v>2.55</v>
      </c>
      <c r="AJ11" s="141">
        <v>2.33</v>
      </c>
      <c r="AK11" s="141">
        <v>2.07</v>
      </c>
      <c r="AL11" s="142">
        <v>1.81</v>
      </c>
      <c r="AM11" s="34"/>
      <c r="AN11" s="38">
        <v>20</v>
      </c>
      <c r="AO11" s="144">
        <v>4.05</v>
      </c>
      <c r="AP11" s="141">
        <v>3.66</v>
      </c>
      <c r="AQ11" s="141">
        <v>3.33</v>
      </c>
      <c r="AR11" s="141">
        <v>2.95</v>
      </c>
      <c r="AS11" s="142">
        <v>2.55</v>
      </c>
      <c r="AU11" s="9">
        <v>3</v>
      </c>
      <c r="AV11" s="43" t="s">
        <v>5</v>
      </c>
      <c r="AW11" s="143">
        <v>0.17</v>
      </c>
      <c r="AX11" s="136">
        <v>0.147</v>
      </c>
      <c r="AY11" s="136">
        <v>0.113</v>
      </c>
      <c r="AZ11" s="136">
        <v>0.084</v>
      </c>
      <c r="BA11" s="136">
        <v>0.073</v>
      </c>
      <c r="BB11" s="136">
        <v>0.055</v>
      </c>
      <c r="BC11" s="136">
        <v>0.042</v>
      </c>
      <c r="BD11" s="136">
        <v>0.035</v>
      </c>
      <c r="BE11" s="136">
        <v>0.024</v>
      </c>
      <c r="BF11" s="137">
        <v>0.02</v>
      </c>
      <c r="BH11" s="9">
        <v>3</v>
      </c>
      <c r="BI11" s="43" t="s">
        <v>5</v>
      </c>
      <c r="BJ11" s="143">
        <v>0.346</v>
      </c>
      <c r="BK11" s="136">
        <v>0.237</v>
      </c>
      <c r="BL11" s="136">
        <v>0.151</v>
      </c>
      <c r="BM11" s="136">
        <v>0.09</v>
      </c>
      <c r="BN11" s="136">
        <v>0.057</v>
      </c>
      <c r="BO11" s="136">
        <v>0.043</v>
      </c>
      <c r="BP11" s="136">
        <v>0.029</v>
      </c>
      <c r="BQ11" s="137">
        <v>0.023</v>
      </c>
      <c r="BR11" s="7">
        <v>0.016</v>
      </c>
      <c r="BS11" s="7">
        <v>0.014</v>
      </c>
      <c r="BU11" s="9">
        <v>3</v>
      </c>
      <c r="BV11" s="43" t="s">
        <v>5</v>
      </c>
      <c r="BW11" s="134">
        <v>3203</v>
      </c>
      <c r="BX11" s="135">
        <v>2700</v>
      </c>
      <c r="BY11" s="135">
        <v>2356</v>
      </c>
      <c r="BZ11" s="135">
        <v>1714</v>
      </c>
      <c r="CA11" s="135">
        <v>1272</v>
      </c>
      <c r="CB11" s="135">
        <v>1003</v>
      </c>
      <c r="CC11" s="136">
        <v>0.731</v>
      </c>
      <c r="CD11" s="136">
        <v>0.636</v>
      </c>
      <c r="CE11" s="136">
        <v>0.55</v>
      </c>
      <c r="CF11" s="136">
        <v>0.48</v>
      </c>
      <c r="CH11" s="13" t="s">
        <v>89</v>
      </c>
      <c r="CI11" s="17">
        <f>IF(CI10=0,0,IF(CI10=0,0,IF(CI14=CJ14,CI15,(CJ15-CI15)/(CJ14-CI14)*(CI10-CI14)+CI15)))</f>
        <v>0.12875467321284778</v>
      </c>
      <c r="CJ11" s="15"/>
      <c r="CK11" s="2"/>
      <c r="CL11" s="2"/>
      <c r="CM11" s="2"/>
      <c r="CN11" s="2"/>
      <c r="CO11" s="2"/>
      <c r="CP11" s="2"/>
    </row>
    <row r="12" spans="2:94" ht="21" customHeight="1">
      <c r="B12" s="122" t="s">
        <v>117</v>
      </c>
      <c r="C12" s="123"/>
      <c r="D12" s="124"/>
      <c r="J12" s="76"/>
      <c r="P12" s="63" t="str">
        <f>IF(C6=1,"","Cấp 3")</f>
        <v>Cấp 3</v>
      </c>
      <c r="R12" s="10">
        <v>5</v>
      </c>
      <c r="S12" s="11" t="s">
        <v>50</v>
      </c>
      <c r="T12" s="138">
        <v>2.901</v>
      </c>
      <c r="U12" s="138">
        <v>2.461</v>
      </c>
      <c r="V12" s="138">
        <v>2.198</v>
      </c>
      <c r="W12" s="138">
        <v>1.593</v>
      </c>
      <c r="X12" s="138">
        <v>1.56</v>
      </c>
      <c r="Y12" s="138">
        <v>1.275</v>
      </c>
      <c r="Z12" s="138">
        <v>1.071</v>
      </c>
      <c r="AA12" s="138">
        <v>0.899</v>
      </c>
      <c r="AB12" s="138">
        <v>0.599</v>
      </c>
      <c r="AC12" s="138">
        <v>0.429</v>
      </c>
      <c r="AD12" s="138">
        <v>0.321</v>
      </c>
      <c r="AE12" s="138">
        <v>0.257</v>
      </c>
      <c r="AG12" s="38">
        <v>50</v>
      </c>
      <c r="AH12" s="143">
        <v>2.36</v>
      </c>
      <c r="AI12" s="136">
        <v>2.14</v>
      </c>
      <c r="AJ12" s="136">
        <v>1.96</v>
      </c>
      <c r="AK12" s="136">
        <v>1.74</v>
      </c>
      <c r="AL12" s="137">
        <v>1.48</v>
      </c>
      <c r="AM12" s="34"/>
      <c r="AN12" s="38">
        <v>50</v>
      </c>
      <c r="AO12" s="143">
        <v>3.41</v>
      </c>
      <c r="AP12" s="136">
        <v>3.1</v>
      </c>
      <c r="AQ12" s="136">
        <v>2.8</v>
      </c>
      <c r="AR12" s="136">
        <v>2.48</v>
      </c>
      <c r="AS12" s="137">
        <v>2.12</v>
      </c>
      <c r="AU12" s="9">
        <v>4</v>
      </c>
      <c r="AV12" s="43" t="s">
        <v>6</v>
      </c>
      <c r="AW12" s="144">
        <v>0.189</v>
      </c>
      <c r="AX12" s="141">
        <v>0.163</v>
      </c>
      <c r="AY12" s="141">
        <v>0.125</v>
      </c>
      <c r="AZ12" s="141">
        <v>0.093</v>
      </c>
      <c r="BA12" s="141">
        <v>0.073</v>
      </c>
      <c r="BB12" s="141">
        <v>0.056</v>
      </c>
      <c r="BC12" s="141">
        <v>0.043</v>
      </c>
      <c r="BD12" s="141">
        <v>0.035</v>
      </c>
      <c r="BE12" s="141">
        <v>0.026</v>
      </c>
      <c r="BF12" s="142">
        <v>0.022</v>
      </c>
      <c r="BH12" s="9">
        <v>4</v>
      </c>
      <c r="BI12" s="43" t="s">
        <v>6</v>
      </c>
      <c r="BJ12" s="144">
        <v>0.361</v>
      </c>
      <c r="BK12" s="141">
        <v>0.302</v>
      </c>
      <c r="BL12" s="141">
        <v>0.166</v>
      </c>
      <c r="BM12" s="141">
        <v>0.094</v>
      </c>
      <c r="BN12" s="141">
        <v>0.066</v>
      </c>
      <c r="BO12" s="141">
        <v>0.046</v>
      </c>
      <c r="BP12" s="141">
        <v>0.031</v>
      </c>
      <c r="BQ12" s="142">
        <v>0.026</v>
      </c>
      <c r="BR12" s="7">
        <v>0.018</v>
      </c>
      <c r="BS12" s="7">
        <v>0.016</v>
      </c>
      <c r="BU12" s="9">
        <v>4</v>
      </c>
      <c r="BV12" s="43" t="s">
        <v>6</v>
      </c>
      <c r="BW12" s="139">
        <v>2598</v>
      </c>
      <c r="BX12" s="140">
        <v>2292</v>
      </c>
      <c r="BY12" s="140">
        <v>2075</v>
      </c>
      <c r="BZ12" s="140">
        <v>1545</v>
      </c>
      <c r="CA12" s="140">
        <v>1189</v>
      </c>
      <c r="CB12" s="141">
        <v>0.95</v>
      </c>
      <c r="CC12" s="141">
        <v>0.631</v>
      </c>
      <c r="CD12" s="141">
        <v>0.55</v>
      </c>
      <c r="CE12" s="141">
        <v>0.49</v>
      </c>
      <c r="CF12" s="141">
        <v>0.42</v>
      </c>
      <c r="CH12" s="50" t="s">
        <v>90</v>
      </c>
      <c r="CI12" s="17">
        <f>IF(CI10=0,0,IF(CI10=0,0,IF(CI14=CJ14,CI16,(CJ16-CI16)/(CJ14-CI14)*(CI10-CI14)+CI16)))</f>
        <v>0.17857676938611172</v>
      </c>
      <c r="CJ12" s="15"/>
      <c r="CK12" s="2"/>
      <c r="CL12" s="2"/>
      <c r="CM12" s="2"/>
      <c r="CN12" s="2"/>
      <c r="CO12" s="2"/>
      <c r="CP12" s="2"/>
    </row>
    <row r="13" spans="2:94" ht="21" customHeight="1">
      <c r="B13" s="102" t="s">
        <v>53</v>
      </c>
      <c r="C13" s="103">
        <f>ROUND('Chi phi Du an- NHAVIET'!$T$16,3)</f>
        <v>2.003</v>
      </c>
      <c r="D13" s="104">
        <f>SUM($C$9:$C$10)*C13%</f>
        <v>1836711901.4400003</v>
      </c>
      <c r="J13" s="76"/>
      <c r="P13" s="63" t="str">
        <f>IF(C6=1,"","Cấp 4")</f>
        <v>Cấp 4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G13" s="38">
        <v>100</v>
      </c>
      <c r="AH13" s="144">
        <v>2.15</v>
      </c>
      <c r="AI13" s="141">
        <v>1.94</v>
      </c>
      <c r="AJ13" s="141">
        <v>1.77</v>
      </c>
      <c r="AK13" s="141">
        <v>1.57</v>
      </c>
      <c r="AL13" s="142">
        <v>1.3</v>
      </c>
      <c r="AM13" s="34"/>
      <c r="AN13" s="38">
        <v>100</v>
      </c>
      <c r="AO13" s="144">
        <v>3.1</v>
      </c>
      <c r="AP13" s="141">
        <v>2.82</v>
      </c>
      <c r="AQ13" s="141">
        <v>2.54</v>
      </c>
      <c r="AR13" s="141">
        <v>2.25</v>
      </c>
      <c r="AS13" s="142">
        <v>1.86</v>
      </c>
      <c r="AU13" s="10">
        <v>5</v>
      </c>
      <c r="AV13" s="44" t="s">
        <v>7</v>
      </c>
      <c r="AW13" s="143">
        <v>0.197</v>
      </c>
      <c r="AX13" s="136">
        <v>0.172</v>
      </c>
      <c r="AY13" s="136">
        <v>0.133</v>
      </c>
      <c r="AZ13" s="136">
        <v>0.099</v>
      </c>
      <c r="BA13" s="136">
        <v>0.076</v>
      </c>
      <c r="BB13" s="136">
        <v>0.059</v>
      </c>
      <c r="BC13" s="136">
        <v>0.046</v>
      </c>
      <c r="BD13" s="136">
        <v>0.04</v>
      </c>
      <c r="BE13" s="136">
        <v>0.029</v>
      </c>
      <c r="BF13" s="136">
        <v>0.024</v>
      </c>
      <c r="BH13" s="10">
        <v>5</v>
      </c>
      <c r="BI13" s="44" t="s">
        <v>7</v>
      </c>
      <c r="BJ13" s="143">
        <v>0.388</v>
      </c>
      <c r="BK13" s="136">
        <v>0.325</v>
      </c>
      <c r="BL13" s="136">
        <v>0.172</v>
      </c>
      <c r="BM13" s="136">
        <v>0.106</v>
      </c>
      <c r="BN13" s="136">
        <v>0.069</v>
      </c>
      <c r="BO13" s="136">
        <v>0.052</v>
      </c>
      <c r="BP13" s="136">
        <v>0.038</v>
      </c>
      <c r="BQ13" s="137">
        <v>0.028</v>
      </c>
      <c r="BR13" s="12">
        <v>0.019</v>
      </c>
      <c r="BS13" s="12">
        <v>0.017</v>
      </c>
      <c r="BU13" s="10">
        <v>5</v>
      </c>
      <c r="BV13" s="44" t="s">
        <v>7</v>
      </c>
      <c r="BW13" s="134">
        <v>2566</v>
      </c>
      <c r="BX13" s="135">
        <v>2256</v>
      </c>
      <c r="BY13" s="135">
        <v>1984</v>
      </c>
      <c r="BZ13" s="135">
        <v>1461</v>
      </c>
      <c r="CA13" s="135">
        <v>1142</v>
      </c>
      <c r="CB13" s="136">
        <v>0.912</v>
      </c>
      <c r="CC13" s="136">
        <v>0.584</v>
      </c>
      <c r="CD13" s="136">
        <v>0.509</v>
      </c>
      <c r="CE13" s="136">
        <v>0.452</v>
      </c>
      <c r="CF13" s="136">
        <v>0.39</v>
      </c>
      <c r="CH13" s="18"/>
      <c r="CI13" s="18">
        <f>IF(CI10&lt;CI6,1,MATCH(CI10,CI6:CP6,1))</f>
        <v>4</v>
      </c>
      <c r="CJ13" s="15">
        <f>IF(OR(CI10&lt;CI6,CI10&gt;CP6),CI13,CI13+1)</f>
        <v>5</v>
      </c>
      <c r="CK13" s="2"/>
      <c r="CL13" s="2"/>
      <c r="CM13" s="2"/>
      <c r="CN13" s="2"/>
      <c r="CO13" s="2"/>
      <c r="CP13" s="2"/>
    </row>
    <row r="14" spans="2:94" ht="18.75" customHeight="1">
      <c r="B14" s="95" t="str">
        <f>IF((C9+C10)&gt;=15000000000,"Chi phí lập dự án đầu tư","Chi phí lập BCKTKT")</f>
        <v>Chi phí lập dự án đầu tư</v>
      </c>
      <c r="C14" s="105">
        <f>ROUND(IF(B14="Chi phí lập dự án đầu tư",'Chi phi Du an- NHAVIET'!$T$33,'Chi phi Du an- NHAVIET'!$T$52),3)</f>
        <v>0.514</v>
      </c>
      <c r="D14" s="131">
        <f>IF(AND(C8=2,C14%*SUM(C9:C10)&lt;10000000),10000000,SUM($C$9:$C$10)*C14%)</f>
        <v>471327966.72</v>
      </c>
      <c r="E14" s="160" t="s">
        <v>109</v>
      </c>
      <c r="J14" s="76"/>
      <c r="R14" s="2"/>
      <c r="S14" s="13" t="s">
        <v>41</v>
      </c>
      <c r="T14" s="14">
        <f>'Chi phi Du an- NHAVIET'!$C$5</f>
        <v>4</v>
      </c>
      <c r="U14" s="15"/>
      <c r="V14" s="2"/>
      <c r="W14" s="2"/>
      <c r="X14" s="2"/>
      <c r="Y14" s="2"/>
      <c r="Z14" s="2"/>
      <c r="AA14" s="2"/>
      <c r="AB14" s="2"/>
      <c r="AC14" s="2"/>
      <c r="AD14" s="2"/>
      <c r="AE14" s="2"/>
      <c r="AG14" s="38">
        <v>200</v>
      </c>
      <c r="AH14" s="143">
        <v>1.96</v>
      </c>
      <c r="AI14" s="136">
        <v>1.78</v>
      </c>
      <c r="AJ14" s="136">
        <v>1.62</v>
      </c>
      <c r="AK14" s="136">
        <v>1.43</v>
      </c>
      <c r="AL14" s="137">
        <v>1.06</v>
      </c>
      <c r="AM14" s="34"/>
      <c r="AN14" s="38">
        <v>200</v>
      </c>
      <c r="AO14" s="143">
        <v>2.83</v>
      </c>
      <c r="AP14" s="136">
        <v>2.57</v>
      </c>
      <c r="AQ14" s="136">
        <v>2.34</v>
      </c>
      <c r="AR14" s="136">
        <v>2.07</v>
      </c>
      <c r="AS14" s="137">
        <v>1.51</v>
      </c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H14" s="18"/>
      <c r="CI14" s="18">
        <f ca="1">OFFSET(CI6,0,CI13-1)</f>
        <v>100</v>
      </c>
      <c r="CJ14" s="18">
        <f ca="1">OFFSET(CI6,0,CJ13-1)</f>
        <v>500</v>
      </c>
      <c r="CK14" s="2"/>
      <c r="CL14" s="2"/>
      <c r="CM14" s="2"/>
      <c r="CN14" s="2"/>
      <c r="CO14" s="2"/>
      <c r="CP14" s="2"/>
    </row>
    <row r="15" spans="2:94" ht="22.5" customHeight="1">
      <c r="B15" s="95" t="str">
        <f>IF(AND(C6=1,C8=2),"","Chi phí thiết kế")</f>
        <v>Chi phí thiết kế</v>
      </c>
      <c r="C15" s="106">
        <f>IF(C6=1,0,ROUND(INDEX($L$18:$N$23,C5+1,C6),3))</f>
        <v>1.642</v>
      </c>
      <c r="D15" s="131">
        <f>SUM($C$9)*C15%</f>
        <v>1505681948.16</v>
      </c>
      <c r="E15" s="161"/>
      <c r="G15" s="146"/>
      <c r="J15" s="76"/>
      <c r="R15" s="2"/>
      <c r="S15" s="13" t="s">
        <v>42</v>
      </c>
      <c r="T15" s="16">
        <f>SUM('Chi phi Du an- NHAVIET'!$C$9:$C$10)/1000000000</f>
        <v>91.698048</v>
      </c>
      <c r="U15" s="15"/>
      <c r="V15" s="2"/>
      <c r="W15" s="2"/>
      <c r="X15" s="2"/>
      <c r="Y15" s="2"/>
      <c r="Z15" s="2"/>
      <c r="AA15" s="2"/>
      <c r="AB15" s="2"/>
      <c r="AC15" s="2"/>
      <c r="AD15" s="2"/>
      <c r="AE15" s="2"/>
      <c r="AG15" s="38">
        <v>500</v>
      </c>
      <c r="AH15" s="144">
        <v>1.65</v>
      </c>
      <c r="AI15" s="141">
        <v>1.5</v>
      </c>
      <c r="AJ15" s="141">
        <v>1.37</v>
      </c>
      <c r="AK15" s="141">
        <v>1.21</v>
      </c>
      <c r="AL15" s="142">
        <v>0.89</v>
      </c>
      <c r="AM15" s="34"/>
      <c r="AN15" s="38">
        <v>500</v>
      </c>
      <c r="AO15" s="144">
        <v>2.39</v>
      </c>
      <c r="AP15" s="141">
        <v>2.17</v>
      </c>
      <c r="AQ15" s="141">
        <v>1.98</v>
      </c>
      <c r="AR15" s="141">
        <v>1.75</v>
      </c>
      <c r="AS15" s="142">
        <v>1.3</v>
      </c>
      <c r="AU15" s="2"/>
      <c r="AV15" s="13" t="s">
        <v>41</v>
      </c>
      <c r="AW15" s="14">
        <f>'Chi phi Du an- NHAVIET'!$C$5</f>
        <v>4</v>
      </c>
      <c r="AX15" s="15"/>
      <c r="AY15" s="2"/>
      <c r="AZ15" s="2"/>
      <c r="BA15" s="2"/>
      <c r="BB15" s="2"/>
      <c r="BC15" s="2"/>
      <c r="BD15" s="2"/>
      <c r="BE15" s="2"/>
      <c r="BF15" s="2"/>
      <c r="BH15" s="2"/>
      <c r="BI15" s="13" t="s">
        <v>41</v>
      </c>
      <c r="BJ15" s="14">
        <f>'Chi phi Du an- NHAVIET'!$C$5</f>
        <v>4</v>
      </c>
      <c r="BK15" s="15"/>
      <c r="BL15" s="2"/>
      <c r="BM15" s="2"/>
      <c r="BN15" s="2"/>
      <c r="BO15" s="2"/>
      <c r="BP15" s="2"/>
      <c r="BQ15" s="2"/>
      <c r="BR15" s="2"/>
      <c r="BS15" s="2"/>
      <c r="BU15" s="2"/>
      <c r="BV15" s="13" t="s">
        <v>41</v>
      </c>
      <c r="BW15" s="14">
        <f>'Chi phi Du an- NHAVIET'!$C$5</f>
        <v>4</v>
      </c>
      <c r="BX15" s="15"/>
      <c r="BY15" s="2"/>
      <c r="BZ15" s="2"/>
      <c r="CA15" s="2"/>
      <c r="CB15" s="2"/>
      <c r="CC15" s="2"/>
      <c r="CD15" s="2"/>
      <c r="CE15" s="2"/>
      <c r="CF15" s="2"/>
      <c r="CH15" s="18"/>
      <c r="CI15" s="19">
        <f ca="1">OFFSET(CI6,1,CI13-1)</f>
        <v>0.13</v>
      </c>
      <c r="CJ15" s="19">
        <f ca="1">OFFSET(CI6,1,CJ13-1)</f>
        <v>0.06</v>
      </c>
      <c r="CK15" s="2"/>
      <c r="CL15" s="2"/>
      <c r="CM15" s="2"/>
      <c r="CN15" s="2"/>
      <c r="CO15" s="45"/>
      <c r="CP15" s="2"/>
    </row>
    <row r="16" spans="2:94" ht="22.5" customHeight="1">
      <c r="B16" s="95" t="str">
        <f>IF(AND(C8=1,(C9+C10)&gt;=15000000000),"Chi phí thẩm tra hiệu quả DAĐT","")</f>
        <v>Chi phí thẩm tra hiệu quả DAĐT</v>
      </c>
      <c r="C16" s="106">
        <f>ROUND(IF(AND(C8=1,C9&gt;=15000000000),'Chi phi Du an- NHAVIET'!$T$116,0),3)</f>
        <v>0.048</v>
      </c>
      <c r="D16" s="101">
        <f>SUM($C$9:$C$10)*C16%</f>
        <v>44015063.04</v>
      </c>
      <c r="E16" s="161"/>
      <c r="J16" s="76"/>
      <c r="R16" s="2"/>
      <c r="S16" s="13" t="s">
        <v>45</v>
      </c>
      <c r="T16" s="17">
        <f>IF(T15=0,0,IF(T18=U18,T19,(U19-T19)/(U18-T18)*(T15-T18)+T19))</f>
        <v>2.00347997952</v>
      </c>
      <c r="U16" s="15"/>
      <c r="V16" s="2"/>
      <c r="W16" s="2"/>
      <c r="X16" s="2"/>
      <c r="Y16" s="2"/>
      <c r="Z16" s="2"/>
      <c r="AA16" s="2"/>
      <c r="AB16" s="2"/>
      <c r="AC16" s="2"/>
      <c r="AD16" s="2"/>
      <c r="AE16" s="2"/>
      <c r="AG16" s="37">
        <v>1000</v>
      </c>
      <c r="AH16" s="143">
        <v>1.36</v>
      </c>
      <c r="AI16" s="136">
        <v>1.22</v>
      </c>
      <c r="AJ16" s="136">
        <v>1.11</v>
      </c>
      <c r="AK16" s="136">
        <v>0.98</v>
      </c>
      <c r="AL16" s="137" t="s">
        <v>16</v>
      </c>
      <c r="AM16" s="34"/>
      <c r="AN16" s="37">
        <v>1000</v>
      </c>
      <c r="AO16" s="143">
        <v>1.93</v>
      </c>
      <c r="AP16" s="136">
        <v>1.76</v>
      </c>
      <c r="AQ16" s="136">
        <v>1.61</v>
      </c>
      <c r="AR16" s="136">
        <v>1.43</v>
      </c>
      <c r="AS16" s="137" t="s">
        <v>16</v>
      </c>
      <c r="AU16" s="2"/>
      <c r="AV16" s="13" t="s">
        <v>43</v>
      </c>
      <c r="AW16" s="16">
        <f>'Chi phi Du an- NHAVIET'!$C$9/1000000000</f>
        <v>91.698048</v>
      </c>
      <c r="AX16" s="15"/>
      <c r="AY16" s="2"/>
      <c r="AZ16" s="2"/>
      <c r="BA16" s="2"/>
      <c r="BB16" s="2"/>
      <c r="BC16" s="2"/>
      <c r="BD16" s="2"/>
      <c r="BE16" s="2"/>
      <c r="BF16" s="2"/>
      <c r="BH16" s="2"/>
      <c r="BI16" s="13" t="s">
        <v>43</v>
      </c>
      <c r="BJ16" s="16">
        <f>'Chi phi Du an- NHAVIET'!$C$9/1000000000</f>
        <v>91.698048</v>
      </c>
      <c r="BK16" s="15"/>
      <c r="BL16" s="2"/>
      <c r="BM16" s="2"/>
      <c r="BN16" s="2"/>
      <c r="BO16" s="2"/>
      <c r="BP16" s="2"/>
      <c r="BQ16" s="2"/>
      <c r="BR16" s="2"/>
      <c r="BS16" s="2"/>
      <c r="BU16" s="2"/>
      <c r="BV16" s="13" t="s">
        <v>43</v>
      </c>
      <c r="BW16" s="16">
        <f>'Chi phi Du an- NHAVIET'!$C$9/1000000000</f>
        <v>91.698048</v>
      </c>
      <c r="BX16" s="15"/>
      <c r="BY16" s="2"/>
      <c r="BZ16" s="2"/>
      <c r="CA16" s="2"/>
      <c r="CB16" s="2"/>
      <c r="CC16" s="2"/>
      <c r="CD16" s="2"/>
      <c r="CE16" s="2"/>
      <c r="CF16" s="2"/>
      <c r="CH16" s="2"/>
      <c r="CI16" s="19">
        <f ca="1">OFFSET(CI6,2,CI13-1)</f>
        <v>0.18</v>
      </c>
      <c r="CJ16" s="19">
        <f ca="1">OFFSET(CI6,2,CJ13-1)</f>
        <v>0.1</v>
      </c>
      <c r="CK16" s="2"/>
      <c r="CL16" s="2"/>
      <c r="CM16" s="2"/>
      <c r="CN16" s="2"/>
      <c r="CO16" s="2"/>
      <c r="CP16" s="2"/>
    </row>
    <row r="17" spans="2:94" ht="22.5" customHeight="1">
      <c r="B17" s="95" t="s">
        <v>54</v>
      </c>
      <c r="C17" s="106">
        <f>ROUND('Chi phi Du an- NHAVIET'!$AW$17,3)</f>
        <v>0.098</v>
      </c>
      <c r="D17" s="101">
        <f>IF(SUM($C$9)*C17%&lt;2000000,2000000,SUM($C$9)*C17%)</f>
        <v>89864087.03999999</v>
      </c>
      <c r="E17" s="161"/>
      <c r="J17" s="76"/>
      <c r="K17" s="78" t="s">
        <v>41</v>
      </c>
      <c r="L17" s="78"/>
      <c r="M17" s="78" t="s">
        <v>71</v>
      </c>
      <c r="N17" s="78" t="s">
        <v>65</v>
      </c>
      <c r="R17" s="2"/>
      <c r="S17" s="18"/>
      <c r="T17" s="18">
        <f>IF(T15&lt;T7,1,MATCH(T15,T7:AE7,1))</f>
        <v>3</v>
      </c>
      <c r="U17" s="15">
        <f>IF(OR(T15&lt;T7,T15&gt;AE7),T17,T17+1)</f>
        <v>4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G17" s="37">
        <v>2000</v>
      </c>
      <c r="AH17" s="144">
        <v>1.16</v>
      </c>
      <c r="AI17" s="141">
        <v>1.05</v>
      </c>
      <c r="AJ17" s="141">
        <v>0.94</v>
      </c>
      <c r="AK17" s="141">
        <v>0.83</v>
      </c>
      <c r="AL17" s="142" t="s">
        <v>16</v>
      </c>
      <c r="AM17" s="34"/>
      <c r="AN17" s="37">
        <v>2000</v>
      </c>
      <c r="AO17" s="144">
        <v>1.65</v>
      </c>
      <c r="AP17" s="141">
        <v>1.51</v>
      </c>
      <c r="AQ17" s="141">
        <v>1.36</v>
      </c>
      <c r="AR17" s="141">
        <v>1.2</v>
      </c>
      <c r="AS17" s="142" t="s">
        <v>16</v>
      </c>
      <c r="AU17" s="2"/>
      <c r="AV17" s="13" t="s">
        <v>45</v>
      </c>
      <c r="AW17" s="17">
        <f>IF(AW16=0,0,IF(AW19=AX19,AW20,(AX20-AW20)/(AX19-AW19)*(AW16-AW19)+AW20))</f>
        <v>0.09831324928</v>
      </c>
      <c r="AX17" s="15"/>
      <c r="AY17" s="2"/>
      <c r="AZ17" s="2"/>
      <c r="BA17" s="2"/>
      <c r="BB17" s="2"/>
      <c r="BC17" s="2"/>
      <c r="BD17" s="2"/>
      <c r="BE17" s="2"/>
      <c r="BF17" s="2"/>
      <c r="BH17" s="2"/>
      <c r="BI17" s="13" t="s">
        <v>45</v>
      </c>
      <c r="BJ17" s="17">
        <f>IF(BJ16=0,0,IF(BJ19=BK19,BJ20,(BK20-BJ20)/(BK19-BJ19)*(BJ16-BJ19)+BJ20))</f>
        <v>0.10595481088</v>
      </c>
      <c r="BK17" s="15"/>
      <c r="BL17" s="2"/>
      <c r="BM17" s="2"/>
      <c r="BN17" s="2"/>
      <c r="BO17" s="2"/>
      <c r="BP17" s="2"/>
      <c r="BQ17" s="2"/>
      <c r="BR17" s="2"/>
      <c r="BS17" s="2"/>
      <c r="BU17" s="2"/>
      <c r="BV17" s="13" t="s">
        <v>45</v>
      </c>
      <c r="BW17" s="145">
        <f>IF(BW16=0,0,IF(BW19=BX19,BW20,(BX20-BW20)/(BX19-BW19)*(BW16-BW19)+BW20))/1000</f>
        <v>1.6330006912</v>
      </c>
      <c r="BX17" s="15"/>
      <c r="BY17" s="2"/>
      <c r="BZ17" s="2"/>
      <c r="CA17" s="2"/>
      <c r="CB17" s="2"/>
      <c r="CC17" s="2"/>
      <c r="CD17" s="2"/>
      <c r="CE17" s="2"/>
      <c r="CF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2:84" ht="22.5" customHeight="1">
      <c r="B18" s="95" t="s">
        <v>55</v>
      </c>
      <c r="C18" s="106">
        <f>ROUND('Chi phi Du an- NHAVIET'!$AW$35,3)</f>
        <v>0.096</v>
      </c>
      <c r="D18" s="101">
        <f>IF(SUM($C$9)*C18%&lt;2000000,2000000,SUM($C$9)*C18%)</f>
        <v>88030126.08</v>
      </c>
      <c r="E18" s="161"/>
      <c r="J18" s="76"/>
      <c r="K18" s="78"/>
      <c r="L18" s="78"/>
      <c r="M18" s="79">
        <v>1</v>
      </c>
      <c r="N18" s="79">
        <v>2</v>
      </c>
      <c r="R18" s="2"/>
      <c r="S18" s="18"/>
      <c r="T18" s="18">
        <f ca="1">OFFSET(T7,0,T17-1)</f>
        <v>50</v>
      </c>
      <c r="U18" s="18">
        <f ca="1">OFFSET(T7,0,U17-1)</f>
        <v>100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G18" s="90">
        <v>5000</v>
      </c>
      <c r="AH18" s="143">
        <v>0.89</v>
      </c>
      <c r="AI18" s="136">
        <v>0.8</v>
      </c>
      <c r="AJ18" s="136">
        <v>0.73</v>
      </c>
      <c r="AK18" s="136">
        <v>0.64</v>
      </c>
      <c r="AL18" s="137" t="s">
        <v>16</v>
      </c>
      <c r="AM18" s="34"/>
      <c r="AN18" s="90">
        <v>5000</v>
      </c>
      <c r="AO18" s="143">
        <v>1.28</v>
      </c>
      <c r="AP18" s="136">
        <v>1.16</v>
      </c>
      <c r="AQ18" s="136">
        <v>1.06</v>
      </c>
      <c r="AR18" s="136">
        <v>0.94</v>
      </c>
      <c r="AS18" s="137" t="s">
        <v>16</v>
      </c>
      <c r="AU18" s="2"/>
      <c r="AV18" s="18"/>
      <c r="AW18" s="18">
        <f>IF(AW16&lt;AW8,1,MATCH(AW16,AW8:BF8,1))</f>
        <v>3</v>
      </c>
      <c r="AX18" s="15">
        <f>IF(OR(AW16&lt;AW8,AW16&gt;BF8),AW18,AW18+1)</f>
        <v>4</v>
      </c>
      <c r="AY18" s="2"/>
      <c r="AZ18" s="2"/>
      <c r="BA18" s="2"/>
      <c r="BB18" s="2"/>
      <c r="BC18" s="2"/>
      <c r="BD18" s="2"/>
      <c r="BE18" s="2"/>
      <c r="BF18" s="2"/>
      <c r="BH18" s="2"/>
      <c r="BI18" s="18"/>
      <c r="BJ18" s="18">
        <f>IF(BJ16&lt;BJ8,1,MATCH(BJ16,BJ8:BS8,1))</f>
        <v>3</v>
      </c>
      <c r="BK18" s="15">
        <f>IF(OR(BJ16&lt;BJ8,BJ16&gt;BS8),BJ18,BJ18+1)</f>
        <v>4</v>
      </c>
      <c r="BL18" s="2"/>
      <c r="BM18" s="2"/>
      <c r="BN18" s="2"/>
      <c r="BO18" s="2"/>
      <c r="BP18" s="2"/>
      <c r="BQ18" s="2"/>
      <c r="BR18" s="2"/>
      <c r="BS18" s="2"/>
      <c r="BU18" s="2"/>
      <c r="BV18" s="18"/>
      <c r="BW18" s="18">
        <f>IF(BW16&lt;BW8,1,MATCH(BW16,BW8:CF8,1))</f>
        <v>3</v>
      </c>
      <c r="BX18" s="15">
        <f>IF(OR(BW16&lt;BW8,BW16&gt;CF8),BW18,BW18+1)</f>
        <v>4</v>
      </c>
      <c r="BY18" s="2"/>
      <c r="BZ18" s="2"/>
      <c r="CA18" s="2"/>
      <c r="CB18" s="2"/>
      <c r="CC18" s="2"/>
      <c r="CD18" s="2"/>
      <c r="CE18" s="2"/>
      <c r="CF18" s="2"/>
    </row>
    <row r="19" spans="2:84" ht="22.5" customHeight="1">
      <c r="B19" s="95" t="s">
        <v>56</v>
      </c>
      <c r="C19" s="106">
        <f>ROUND('Chi phi Du an- NHAVIET'!$BJ$17,3)</f>
        <v>0.106</v>
      </c>
      <c r="D19" s="101">
        <f>SUM($C$9)*C19%</f>
        <v>97199930.88</v>
      </c>
      <c r="E19" s="161"/>
      <c r="J19" s="76"/>
      <c r="K19" s="78" t="s">
        <v>66</v>
      </c>
      <c r="L19" s="79">
        <v>1</v>
      </c>
      <c r="M19" s="80">
        <f>'Chi phi Du an- NHAVIET'!$AP$24</f>
        <v>2.5831701504</v>
      </c>
      <c r="N19" s="80">
        <f>'Chi phi Du an- NHAVIET'!$AI$24</f>
        <v>1.8015474176</v>
      </c>
      <c r="R19" s="2"/>
      <c r="S19" s="18"/>
      <c r="T19" s="19">
        <f ca="1">OFFSET(T7,T14,T17-1)</f>
        <v>2.473</v>
      </c>
      <c r="U19" s="19">
        <f ca="1">OFFSET(T7,T14,U17-1)</f>
        <v>1.91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G19" s="47">
        <v>8000</v>
      </c>
      <c r="AH19" s="144">
        <v>0.68</v>
      </c>
      <c r="AI19" s="141">
        <v>0.61</v>
      </c>
      <c r="AJ19" s="141">
        <v>0.55</v>
      </c>
      <c r="AK19" s="141">
        <v>0.48</v>
      </c>
      <c r="AL19" s="142" t="s">
        <v>16</v>
      </c>
      <c r="AM19" s="34"/>
      <c r="AN19" s="47">
        <v>8000</v>
      </c>
      <c r="AO19" s="144">
        <v>0.99</v>
      </c>
      <c r="AP19" s="141">
        <v>0.9</v>
      </c>
      <c r="AQ19" s="141">
        <v>0.82</v>
      </c>
      <c r="AR19" s="141">
        <v>0.72</v>
      </c>
      <c r="AS19" s="142" t="s">
        <v>16</v>
      </c>
      <c r="AU19" s="2"/>
      <c r="AV19" s="18"/>
      <c r="AW19" s="18">
        <f ca="1">OFFSET(AW8,0,AW18-1)</f>
        <v>50</v>
      </c>
      <c r="AX19" s="18">
        <f ca="1">OFFSET(AW8,0,AX18-1)</f>
        <v>100</v>
      </c>
      <c r="AY19" s="2"/>
      <c r="AZ19" s="2"/>
      <c r="BA19" s="2"/>
      <c r="BB19" s="2"/>
      <c r="BC19" s="2"/>
      <c r="BD19" s="2"/>
      <c r="BE19" s="2"/>
      <c r="BF19" s="2"/>
      <c r="BH19" s="2"/>
      <c r="BI19" s="18"/>
      <c r="BJ19" s="18">
        <f ca="1">OFFSET(BJ8,0,BJ18-1)</f>
        <v>50</v>
      </c>
      <c r="BK19" s="18">
        <f ca="1">OFFSET(BJ8,0,BK18-1)</f>
        <v>100</v>
      </c>
      <c r="BL19" s="2"/>
      <c r="BM19" s="2"/>
      <c r="BN19" s="2"/>
      <c r="BO19" s="2"/>
      <c r="BP19" s="2"/>
      <c r="BQ19" s="2"/>
      <c r="BR19" s="2"/>
      <c r="BS19" s="2"/>
      <c r="BU19" s="2"/>
      <c r="BV19" s="18"/>
      <c r="BW19" s="18">
        <f ca="1">OFFSET(BW8,0,BW18-1)</f>
        <v>50</v>
      </c>
      <c r="BX19" s="18">
        <f ca="1">OFFSET(BW8,0,BX18-1)</f>
        <v>100</v>
      </c>
      <c r="BY19" s="2"/>
      <c r="BZ19" s="2"/>
      <c r="CA19" s="2"/>
      <c r="CB19" s="2"/>
      <c r="CC19" s="2"/>
      <c r="CD19" s="2"/>
      <c r="CE19" s="2"/>
      <c r="CF19" s="2"/>
    </row>
    <row r="20" spans="2:84" ht="22.5" customHeight="1">
      <c r="B20" s="95" t="s">
        <v>57</v>
      </c>
      <c r="C20" s="106">
        <f>ROUND('Chi phi Du an- NHAVIET'!$BJ$35,3)</f>
        <v>0.098</v>
      </c>
      <c r="D20" s="101">
        <f>SUM($C$10)*C20%</f>
        <v>0</v>
      </c>
      <c r="E20" s="161"/>
      <c r="J20" s="76"/>
      <c r="K20" s="78" t="s">
        <v>67</v>
      </c>
      <c r="L20" s="79">
        <v>2</v>
      </c>
      <c r="M20" s="80">
        <f>'Chi phi Du an- NHAVIET'!$AP$49</f>
        <v>2.2715474176000003</v>
      </c>
      <c r="N20" s="80">
        <f>'Chi phi Du an- NHAVIET'!$AI$49</f>
        <v>1.4815850752</v>
      </c>
      <c r="R20" s="2"/>
      <c r="S20" s="18"/>
      <c r="T20" s="19"/>
      <c r="U20" s="19"/>
      <c r="V20" s="2"/>
      <c r="W20" s="2"/>
      <c r="X20" s="2"/>
      <c r="Y20" s="2"/>
      <c r="Z20" s="2"/>
      <c r="AA20" s="2"/>
      <c r="AB20" s="2"/>
      <c r="AC20" s="2"/>
      <c r="AD20" s="2"/>
      <c r="AE20" s="2"/>
      <c r="AG20" s="47">
        <v>10000</v>
      </c>
      <c r="AH20" s="143">
        <v>0.61</v>
      </c>
      <c r="AI20" s="136">
        <v>0.55</v>
      </c>
      <c r="AJ20" s="136">
        <v>0.5</v>
      </c>
      <c r="AK20" s="136">
        <v>0.44</v>
      </c>
      <c r="AL20" s="137" t="s">
        <v>16</v>
      </c>
      <c r="AM20" s="34"/>
      <c r="AN20" s="47">
        <v>10000</v>
      </c>
      <c r="AO20" s="143">
        <v>0.91</v>
      </c>
      <c r="AP20" s="136">
        <v>0.8</v>
      </c>
      <c r="AQ20" s="136">
        <v>0.72</v>
      </c>
      <c r="AR20" s="136">
        <v>0.63</v>
      </c>
      <c r="AS20" s="137" t="s">
        <v>16</v>
      </c>
      <c r="AU20" s="2"/>
      <c r="AV20" s="18"/>
      <c r="AW20" s="19">
        <f ca="1">OFFSET(AW8,AW15,AW18-1)</f>
        <v>0.125</v>
      </c>
      <c r="AX20" s="19">
        <f ca="1">OFFSET(AW8,AW15,AX18-1)</f>
        <v>0.093</v>
      </c>
      <c r="AY20" s="2"/>
      <c r="AZ20" s="2"/>
      <c r="BA20" s="2"/>
      <c r="BB20" s="2"/>
      <c r="BC20" s="2"/>
      <c r="BD20" s="2"/>
      <c r="BE20" s="2"/>
      <c r="BF20" s="2"/>
      <c r="BH20" s="2"/>
      <c r="BI20" s="18"/>
      <c r="BJ20" s="19">
        <f ca="1">OFFSET(BJ8,BJ15,BJ18-1)</f>
        <v>0.166</v>
      </c>
      <c r="BK20" s="19">
        <f ca="1">OFFSET(BJ8,BJ15,BK18-1)</f>
        <v>0.094</v>
      </c>
      <c r="BL20" s="2"/>
      <c r="BM20" s="2"/>
      <c r="BN20" s="2"/>
      <c r="BO20" s="2"/>
      <c r="BP20" s="2"/>
      <c r="BQ20" s="2"/>
      <c r="BR20" s="2"/>
      <c r="BS20" s="2"/>
      <c r="BU20" s="2"/>
      <c r="BV20" s="18"/>
      <c r="BW20" s="19">
        <f ca="1">OFFSET(BW8,BW15,BW18-1)</f>
        <v>2075</v>
      </c>
      <c r="BX20" s="19">
        <f ca="1">OFFSET(BW8,BW15,BX18-1)</f>
        <v>1545</v>
      </c>
      <c r="BY20" s="2"/>
      <c r="BZ20" s="2"/>
      <c r="CA20" s="2"/>
      <c r="CB20" s="2"/>
      <c r="CC20" s="2"/>
      <c r="CD20" s="2"/>
      <c r="CE20" s="2"/>
      <c r="CF20" s="2"/>
    </row>
    <row r="21" spans="2:84" ht="22.5" customHeight="1">
      <c r="B21" s="95" t="s">
        <v>58</v>
      </c>
      <c r="C21" s="106">
        <f>ROUND('Chi phi Du an- NHAVIET'!$BW$17,3)</f>
        <v>1.633</v>
      </c>
      <c r="D21" s="101">
        <f>SUM($C$9)*C21%</f>
        <v>1497429123.8400002</v>
      </c>
      <c r="J21" s="76"/>
      <c r="K21" s="78" t="s">
        <v>68</v>
      </c>
      <c r="L21" s="79">
        <v>3</v>
      </c>
      <c r="M21" s="80">
        <f>'Chi phi Du an- NHAVIET'!$AP$74</f>
        <v>1.2199246848</v>
      </c>
      <c r="N21" s="80">
        <f>'Chi phi Du an- NHAVIET'!$AI$74</f>
        <v>0.8532831232</v>
      </c>
      <c r="R21" s="1" t="s">
        <v>24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G21" s="34"/>
      <c r="AH21" s="34"/>
      <c r="AI21" s="34"/>
      <c r="AJ21" s="34"/>
      <c r="AK21" s="34"/>
      <c r="AL21" s="34"/>
      <c r="AM21" s="2"/>
      <c r="AN21" s="34"/>
      <c r="AO21" s="34"/>
      <c r="AP21" s="34"/>
      <c r="AQ21" s="34"/>
      <c r="AR21" s="34"/>
      <c r="AS21" s="34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2:84" ht="22.5" customHeight="1" thickBot="1">
      <c r="B22" s="96" t="s">
        <v>59</v>
      </c>
      <c r="C22" s="107">
        <f>ROUND('Chi phi Du an- NHAVIET'!$BW$35,3)</f>
        <v>0</v>
      </c>
      <c r="D22" s="108">
        <f>SUM($C$10)*C22%</f>
        <v>0</v>
      </c>
      <c r="J22" s="76"/>
      <c r="K22" s="78" t="s">
        <v>69</v>
      </c>
      <c r="L22" s="79">
        <v>4</v>
      </c>
      <c r="M22" s="80">
        <f>'Chi phi Du an- NHAVIET'!$AP$99</f>
        <v>2.3864909312</v>
      </c>
      <c r="N22" s="80">
        <f>'Chi phi Du an- NHAVIET'!$AI$99</f>
        <v>1.6415474176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3" t="s">
        <v>8</v>
      </c>
      <c r="AE22" s="3"/>
      <c r="AG22" s="2"/>
      <c r="AH22" s="13" t="s">
        <v>61</v>
      </c>
      <c r="AI22" s="48">
        <f>'Chi phi Du an- NHAVIET'!$C$7</f>
        <v>3</v>
      </c>
      <c r="AJ22" s="15"/>
      <c r="AK22" s="15"/>
      <c r="AL22" s="15"/>
      <c r="AM22" s="2"/>
      <c r="AN22" s="2"/>
      <c r="AO22" s="13" t="s">
        <v>61</v>
      </c>
      <c r="AP22" s="48">
        <f>'Chi phi Du an- NHAVIET'!$C$7</f>
        <v>3</v>
      </c>
      <c r="AQ22" s="15"/>
      <c r="AR22" s="15"/>
      <c r="AS22" s="15"/>
      <c r="AU22" s="1" t="s">
        <v>35</v>
      </c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H22" s="1" t="s">
        <v>37</v>
      </c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U22" s="1" t="s">
        <v>39</v>
      </c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3:84" ht="22.5" customHeight="1">
      <c r="C23" s="99"/>
      <c r="J23" s="76"/>
      <c r="K23" s="78" t="s">
        <v>70</v>
      </c>
      <c r="L23" s="79">
        <v>5</v>
      </c>
      <c r="M23" s="80">
        <f>'Chi phi Du an- NHAVIET'!$AP$124</f>
        <v>1.803207808</v>
      </c>
      <c r="N23" s="80">
        <f>'Chi phi Du an- NHAVIET'!$AI$124</f>
        <v>1.2432454656</v>
      </c>
      <c r="R23" s="147" t="s">
        <v>0</v>
      </c>
      <c r="S23" s="147" t="s">
        <v>9</v>
      </c>
      <c r="T23" s="157" t="s">
        <v>2</v>
      </c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9"/>
      <c r="AG23" s="2"/>
      <c r="AH23" s="13" t="s">
        <v>43</v>
      </c>
      <c r="AI23" s="16">
        <f>'Chi phi Du an- NHAVIET'!$C$9/1000000000</f>
        <v>91.698048</v>
      </c>
      <c r="AJ23" s="15"/>
      <c r="AK23" s="15"/>
      <c r="AL23" s="15"/>
      <c r="AM23" s="2"/>
      <c r="AN23" s="2"/>
      <c r="AO23" s="13" t="s">
        <v>43</v>
      </c>
      <c r="AP23" s="16">
        <f>'Chi phi Du an- NHAVIET'!$C$9/1000000000</f>
        <v>91.698048</v>
      </c>
      <c r="AQ23" s="15"/>
      <c r="AR23" s="15"/>
      <c r="AS23" s="15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2:84" ht="22.5" customHeight="1">
      <c r="B24" s="122" t="s">
        <v>93</v>
      </c>
      <c r="C24" s="125"/>
      <c r="D24" s="124"/>
      <c r="J24" s="76"/>
      <c r="K24" s="81"/>
      <c r="L24" s="82"/>
      <c r="M24" s="83"/>
      <c r="N24" s="83"/>
      <c r="R24" s="148"/>
      <c r="S24" s="148"/>
      <c r="T24" s="88">
        <v>15</v>
      </c>
      <c r="U24" s="20">
        <v>20</v>
      </c>
      <c r="V24" s="20">
        <v>50</v>
      </c>
      <c r="W24" s="20">
        <v>100</v>
      </c>
      <c r="X24" s="20">
        <v>200</v>
      </c>
      <c r="Y24" s="20">
        <v>500</v>
      </c>
      <c r="Z24" s="20">
        <v>1000</v>
      </c>
      <c r="AA24" s="21">
        <v>2000</v>
      </c>
      <c r="AB24" s="21">
        <v>5000</v>
      </c>
      <c r="AC24" s="21">
        <v>10000</v>
      </c>
      <c r="AD24" s="21">
        <v>20000</v>
      </c>
      <c r="AE24" s="21">
        <v>30000</v>
      </c>
      <c r="AG24" s="2"/>
      <c r="AH24" s="13" t="s">
        <v>45</v>
      </c>
      <c r="AI24" s="17">
        <f>IF(AI23=0,0,IF(AI26=AJ26,AI27,(AJ27-AI27)/(AJ26-AI26)*(AI23-AI26)+AI27))</f>
        <v>1.8015474176</v>
      </c>
      <c r="AJ24" s="15"/>
      <c r="AK24" s="15"/>
      <c r="AL24" s="15"/>
      <c r="AM24" s="2"/>
      <c r="AN24" s="2"/>
      <c r="AO24" s="13" t="s">
        <v>45</v>
      </c>
      <c r="AP24" s="17">
        <f>IF(AP23=0,0,IF(AP26=AQ26,AP27,(AQ27-AP27)/(AQ26-AP26)*(AP23-AP26)+AP27))</f>
        <v>2.5831701504</v>
      </c>
      <c r="AQ24" s="15"/>
      <c r="AR24" s="15"/>
      <c r="AS24" s="15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40" t="s">
        <v>8</v>
      </c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40" t="s">
        <v>8</v>
      </c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40" t="s">
        <v>8</v>
      </c>
    </row>
    <row r="25" spans="2:84" ht="22.5" customHeight="1">
      <c r="B25" s="102" t="s">
        <v>94</v>
      </c>
      <c r="C25" s="103">
        <f>$T$66</f>
        <v>0.012915097600000001</v>
      </c>
      <c r="D25" s="104">
        <f>SUM($C$9:$C$10)*C25%</f>
        <v>11842892.39649485</v>
      </c>
      <c r="J25" s="76"/>
      <c r="K25" s="81"/>
      <c r="L25" s="82"/>
      <c r="M25" s="83"/>
      <c r="N25" s="83"/>
      <c r="R25" s="22">
        <v>1</v>
      </c>
      <c r="S25" s="23" t="s">
        <v>3</v>
      </c>
      <c r="T25" s="134">
        <v>1114</v>
      </c>
      <c r="U25" s="136">
        <v>0.914</v>
      </c>
      <c r="V25" s="136">
        <v>0.751</v>
      </c>
      <c r="W25" s="136">
        <v>0.534</v>
      </c>
      <c r="X25" s="136">
        <v>0.402</v>
      </c>
      <c r="Y25" s="136">
        <v>0.287</v>
      </c>
      <c r="Z25" s="136">
        <v>0.246</v>
      </c>
      <c r="AA25" s="136">
        <v>0.209</v>
      </c>
      <c r="AB25" s="136">
        <v>0.167</v>
      </c>
      <c r="AC25" s="136">
        <v>0.134</v>
      </c>
      <c r="AD25" s="136">
        <v>0.102</v>
      </c>
      <c r="AE25" s="137">
        <v>0.086</v>
      </c>
      <c r="AG25" s="2"/>
      <c r="AH25" s="18"/>
      <c r="AI25" s="18">
        <f>IF(AI23&lt;AG10,1,MATCH(AI23,AG10:AG20,1))</f>
        <v>3</v>
      </c>
      <c r="AJ25" s="15">
        <f>IF(OR(AI23&lt;AG10,AI23&gt;AG20),AI25,AI25+1)</f>
        <v>4</v>
      </c>
      <c r="AK25" s="15"/>
      <c r="AL25" s="15"/>
      <c r="AM25" s="2"/>
      <c r="AN25" s="2"/>
      <c r="AO25" s="18"/>
      <c r="AP25" s="18">
        <f>IF(AP23&lt;AN10,1,MATCH(AP23,AN10:AN20,1))</f>
        <v>3</v>
      </c>
      <c r="AQ25" s="15">
        <f>IF(OR(AP23&lt;AN10,AP23&gt;AN20),AP25,AP25+1)</f>
        <v>4</v>
      </c>
      <c r="AR25" s="18"/>
      <c r="AS25" s="18"/>
      <c r="AU25" s="147" t="s">
        <v>0</v>
      </c>
      <c r="AV25" s="147" t="s">
        <v>1</v>
      </c>
      <c r="AW25" s="149" t="s">
        <v>19</v>
      </c>
      <c r="AX25" s="149"/>
      <c r="AY25" s="149"/>
      <c r="AZ25" s="149"/>
      <c r="BA25" s="149"/>
      <c r="BB25" s="149"/>
      <c r="BC25" s="149"/>
      <c r="BD25" s="149"/>
      <c r="BE25" s="149"/>
      <c r="BF25" s="149"/>
      <c r="BH25" s="150" t="s">
        <v>0</v>
      </c>
      <c r="BI25" s="147" t="s">
        <v>1</v>
      </c>
      <c r="BJ25" s="149" t="s">
        <v>20</v>
      </c>
      <c r="BK25" s="149"/>
      <c r="BL25" s="149"/>
      <c r="BM25" s="149"/>
      <c r="BN25" s="149"/>
      <c r="BO25" s="149"/>
      <c r="BP25" s="149"/>
      <c r="BQ25" s="149"/>
      <c r="BR25" s="149"/>
      <c r="BS25" s="149"/>
      <c r="BU25" s="150" t="s">
        <v>0</v>
      </c>
      <c r="BV25" s="147" t="s">
        <v>1</v>
      </c>
      <c r="BW25" s="149" t="s">
        <v>20</v>
      </c>
      <c r="BX25" s="149"/>
      <c r="BY25" s="149"/>
      <c r="BZ25" s="149"/>
      <c r="CA25" s="149"/>
      <c r="CB25" s="149"/>
      <c r="CC25" s="149"/>
      <c r="CD25" s="149"/>
      <c r="CE25" s="149"/>
      <c r="CF25" s="149"/>
    </row>
    <row r="26" spans="2:84" ht="22.5" customHeight="1">
      <c r="B26" s="102" t="s">
        <v>95</v>
      </c>
      <c r="C26" s="103">
        <f>$T$81</f>
        <v>0.021548305408000002</v>
      </c>
      <c r="D26" s="104">
        <f>$C$9*C26%</f>
        <v>19759375.436214436</v>
      </c>
      <c r="J26" s="76"/>
      <c r="K26" s="81"/>
      <c r="L26" s="82"/>
      <c r="M26" s="83"/>
      <c r="N26" s="83"/>
      <c r="R26" s="7">
        <v>2</v>
      </c>
      <c r="S26" s="25" t="s">
        <v>4</v>
      </c>
      <c r="T26" s="139">
        <v>1261</v>
      </c>
      <c r="U26" s="140">
        <v>1112</v>
      </c>
      <c r="V26" s="141">
        <v>0.882</v>
      </c>
      <c r="W26" s="141">
        <v>0.654</v>
      </c>
      <c r="X26" s="141">
        <v>0.515</v>
      </c>
      <c r="Y26" s="141">
        <v>0.466</v>
      </c>
      <c r="Z26" s="141">
        <v>0.404</v>
      </c>
      <c r="AA26" s="141">
        <v>0.315</v>
      </c>
      <c r="AB26" s="141">
        <v>0.248</v>
      </c>
      <c r="AC26" s="141">
        <v>0.189</v>
      </c>
      <c r="AD26" s="141">
        <v>0.135</v>
      </c>
      <c r="AE26" s="142">
        <v>0.107</v>
      </c>
      <c r="AG26" s="2"/>
      <c r="AH26" s="18"/>
      <c r="AI26" s="18">
        <f ca="1">OFFSET(AG10,AI25-1,0)</f>
        <v>50</v>
      </c>
      <c r="AJ26" s="18">
        <f ca="1">OFFSET(AG10,AJ25-1,0)</f>
        <v>100</v>
      </c>
      <c r="AK26" s="18"/>
      <c r="AL26" s="18"/>
      <c r="AM26" s="2"/>
      <c r="AN26" s="2"/>
      <c r="AO26" s="18"/>
      <c r="AP26" s="18">
        <f ca="1">OFFSET(AN10,AP25-1,0)</f>
        <v>50</v>
      </c>
      <c r="AQ26" s="18">
        <f ca="1">OFFSET(AN10,AQ25-1,0)</f>
        <v>100</v>
      </c>
      <c r="AR26" s="18"/>
      <c r="AS26" s="18"/>
      <c r="AU26" s="148"/>
      <c r="AV26" s="148"/>
      <c r="AW26" s="41">
        <v>10</v>
      </c>
      <c r="AX26" s="4">
        <v>20</v>
      </c>
      <c r="AY26" s="4">
        <v>50</v>
      </c>
      <c r="AZ26" s="4">
        <v>100</v>
      </c>
      <c r="BA26" s="4">
        <v>200</v>
      </c>
      <c r="BB26" s="4">
        <v>500</v>
      </c>
      <c r="BC26" s="42">
        <v>1000</v>
      </c>
      <c r="BD26" s="42">
        <v>2000</v>
      </c>
      <c r="BE26" s="42">
        <v>5000</v>
      </c>
      <c r="BF26" s="42">
        <v>8000</v>
      </c>
      <c r="BH26" s="151"/>
      <c r="BI26" s="148"/>
      <c r="BJ26" s="41">
        <v>10</v>
      </c>
      <c r="BK26" s="4">
        <v>20</v>
      </c>
      <c r="BL26" s="4">
        <v>50</v>
      </c>
      <c r="BM26" s="4">
        <v>100</v>
      </c>
      <c r="BN26" s="4">
        <v>200</v>
      </c>
      <c r="BO26" s="4">
        <v>500</v>
      </c>
      <c r="BP26" s="42">
        <v>1000</v>
      </c>
      <c r="BQ26" s="42">
        <v>2000</v>
      </c>
      <c r="BR26" s="42">
        <v>5000</v>
      </c>
      <c r="BS26" s="42">
        <v>8000</v>
      </c>
      <c r="BU26" s="151"/>
      <c r="BV26" s="148"/>
      <c r="BW26" s="41">
        <v>10</v>
      </c>
      <c r="BX26" s="4">
        <v>20</v>
      </c>
      <c r="BY26" s="4">
        <v>50</v>
      </c>
      <c r="BZ26" s="4">
        <v>100</v>
      </c>
      <c r="CA26" s="4">
        <v>200</v>
      </c>
      <c r="CB26" s="4">
        <v>500</v>
      </c>
      <c r="CC26" s="42">
        <v>1000</v>
      </c>
      <c r="CD26" s="42">
        <v>2000</v>
      </c>
      <c r="CE26" s="42">
        <v>5000</v>
      </c>
      <c r="CF26" s="42">
        <v>8000</v>
      </c>
    </row>
    <row r="27" spans="2:84" ht="22.5" customHeight="1" thickBot="1">
      <c r="B27" s="96" t="s">
        <v>96</v>
      </c>
      <c r="C27" s="107">
        <f>$T$98</f>
        <v>0.02007737088</v>
      </c>
      <c r="D27" s="108">
        <f>$C$9*C27%</f>
        <v>18410557.186680425</v>
      </c>
      <c r="J27" s="76"/>
      <c r="R27" s="7">
        <v>3</v>
      </c>
      <c r="S27" s="25" t="s">
        <v>5</v>
      </c>
      <c r="T27" s="143">
        <v>0.689</v>
      </c>
      <c r="U27" s="136">
        <v>0.628</v>
      </c>
      <c r="V27" s="136">
        <v>0.501</v>
      </c>
      <c r="W27" s="136">
        <v>0.393</v>
      </c>
      <c r="X27" s="136">
        <v>0.271</v>
      </c>
      <c r="Y27" s="136">
        <v>0.203</v>
      </c>
      <c r="Z27" s="136">
        <v>0.177</v>
      </c>
      <c r="AA27" s="136">
        <v>0.151</v>
      </c>
      <c r="AB27" s="136">
        <v>0.12</v>
      </c>
      <c r="AC27" s="136">
        <v>0.097</v>
      </c>
      <c r="AD27" s="136">
        <v>0.075</v>
      </c>
      <c r="AE27" s="137">
        <v>0.063</v>
      </c>
      <c r="AG27" s="2"/>
      <c r="AH27" s="18"/>
      <c r="AI27" s="19">
        <f ca="1">OFFSET(AG10,AI25-1,AI22)</f>
        <v>1.96</v>
      </c>
      <c r="AJ27" s="19">
        <f ca="1">OFFSET(AG10,AJ25-1,AI22)</f>
        <v>1.77</v>
      </c>
      <c r="AK27" s="19"/>
      <c r="AL27" s="19"/>
      <c r="AM27" s="34"/>
      <c r="AN27" s="2"/>
      <c r="AO27" s="18"/>
      <c r="AP27" s="19">
        <f ca="1">OFFSET(AN10,AP25-1,AP22)</f>
        <v>2.8</v>
      </c>
      <c r="AQ27" s="19">
        <f ca="1">OFFSET(AN10,AQ25-1,AP22)</f>
        <v>2.54</v>
      </c>
      <c r="AR27" s="19"/>
      <c r="AS27" s="19"/>
      <c r="AU27" s="32">
        <v>1</v>
      </c>
      <c r="AV27" s="31" t="s">
        <v>3</v>
      </c>
      <c r="AW27" s="143">
        <v>0.25</v>
      </c>
      <c r="AX27" s="136">
        <v>0.219</v>
      </c>
      <c r="AY27" s="136">
        <v>0.166</v>
      </c>
      <c r="AZ27" s="136">
        <v>0.14</v>
      </c>
      <c r="BA27" s="136">
        <v>0.105</v>
      </c>
      <c r="BB27" s="136">
        <v>0.077</v>
      </c>
      <c r="BC27" s="136">
        <v>0.064</v>
      </c>
      <c r="BD27" s="136">
        <v>0.043</v>
      </c>
      <c r="BE27" s="136">
        <v>0.032</v>
      </c>
      <c r="BF27" s="137">
        <v>0.027</v>
      </c>
      <c r="BH27" s="32">
        <v>1</v>
      </c>
      <c r="BI27" s="31" t="s">
        <v>3</v>
      </c>
      <c r="BJ27" s="143">
        <v>0.367</v>
      </c>
      <c r="BK27" s="136">
        <v>0.346</v>
      </c>
      <c r="BL27" s="136">
        <v>0.181</v>
      </c>
      <c r="BM27" s="136">
        <v>0.113</v>
      </c>
      <c r="BN27" s="136">
        <v>0.102</v>
      </c>
      <c r="BO27" s="136">
        <v>0.081</v>
      </c>
      <c r="BP27" s="136">
        <v>0.055</v>
      </c>
      <c r="BQ27" s="137">
        <v>0.043</v>
      </c>
      <c r="BR27" s="5">
        <v>0.027</v>
      </c>
      <c r="BS27" s="5">
        <v>0.023</v>
      </c>
      <c r="BU27" s="32">
        <v>1</v>
      </c>
      <c r="BV27" s="31" t="s">
        <v>3</v>
      </c>
      <c r="BW27" s="143">
        <v>0.844</v>
      </c>
      <c r="BX27" s="136">
        <v>0.715</v>
      </c>
      <c r="BY27" s="136">
        <v>0.596</v>
      </c>
      <c r="BZ27" s="136">
        <v>0.394</v>
      </c>
      <c r="CA27" s="136">
        <v>0.305</v>
      </c>
      <c r="CB27" s="136">
        <v>0.261</v>
      </c>
      <c r="CC27" s="136">
        <v>0.176</v>
      </c>
      <c r="CD27" s="136">
        <v>0.153</v>
      </c>
      <c r="CE27" s="136">
        <v>0.132</v>
      </c>
      <c r="CF27" s="137">
        <v>0.112</v>
      </c>
    </row>
    <row r="28" spans="10:84" ht="22.5" customHeight="1">
      <c r="J28" s="76"/>
      <c r="R28" s="9">
        <v>4</v>
      </c>
      <c r="S28" s="25" t="s">
        <v>6</v>
      </c>
      <c r="T28" s="144">
        <v>0.943</v>
      </c>
      <c r="U28" s="141">
        <v>0.858</v>
      </c>
      <c r="V28" s="141">
        <v>0.685</v>
      </c>
      <c r="W28" s="141">
        <v>0.48</v>
      </c>
      <c r="X28" s="141">
        <v>0.361</v>
      </c>
      <c r="Y28" s="141">
        <v>0.273</v>
      </c>
      <c r="Z28" s="141">
        <v>0.234</v>
      </c>
      <c r="AA28" s="141">
        <v>0.201</v>
      </c>
      <c r="AB28" s="141">
        <v>0.161</v>
      </c>
      <c r="AC28" s="141">
        <v>0.129</v>
      </c>
      <c r="AD28" s="141">
        <v>0.1</v>
      </c>
      <c r="AE28" s="142">
        <v>0.084</v>
      </c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U28" s="9">
        <v>2</v>
      </c>
      <c r="AV28" s="43" t="s">
        <v>4</v>
      </c>
      <c r="AW28" s="144">
        <v>0.282</v>
      </c>
      <c r="AX28" s="141">
        <v>0.244</v>
      </c>
      <c r="AY28" s="141">
        <v>0.185</v>
      </c>
      <c r="AZ28" s="141">
        <v>0.141</v>
      </c>
      <c r="BA28" s="141">
        <v>0.108</v>
      </c>
      <c r="BB28" s="141">
        <v>0.083</v>
      </c>
      <c r="BC28" s="141">
        <v>0.062</v>
      </c>
      <c r="BD28" s="141">
        <v>0.05</v>
      </c>
      <c r="BE28" s="141">
        <v>0.034</v>
      </c>
      <c r="BF28" s="142">
        <v>0.03</v>
      </c>
      <c r="BH28" s="9">
        <v>2</v>
      </c>
      <c r="BI28" s="43" t="s">
        <v>4</v>
      </c>
      <c r="BJ28" s="144">
        <v>0.549</v>
      </c>
      <c r="BK28" s="141">
        <v>0.494</v>
      </c>
      <c r="BL28" s="141">
        <v>0.28</v>
      </c>
      <c r="BM28" s="141">
        <v>0.177</v>
      </c>
      <c r="BN28" s="141">
        <v>0.152</v>
      </c>
      <c r="BO28" s="141">
        <v>0.123</v>
      </c>
      <c r="BP28" s="141">
        <v>0.084</v>
      </c>
      <c r="BQ28" s="142">
        <v>0.066</v>
      </c>
      <c r="BR28" s="7">
        <v>0.041</v>
      </c>
      <c r="BS28" s="7">
        <v>0.036</v>
      </c>
      <c r="BU28" s="9">
        <v>2</v>
      </c>
      <c r="BV28" s="43" t="s">
        <v>4</v>
      </c>
      <c r="BW28" s="139">
        <v>1147</v>
      </c>
      <c r="BX28" s="140">
        <v>1005</v>
      </c>
      <c r="BY28" s="141">
        <v>0.958</v>
      </c>
      <c r="BZ28" s="141">
        <v>0.811</v>
      </c>
      <c r="CA28" s="141">
        <v>0.49</v>
      </c>
      <c r="CB28" s="141">
        <v>0.422</v>
      </c>
      <c r="CC28" s="141">
        <v>0.356</v>
      </c>
      <c r="CD28" s="141">
        <v>0.309</v>
      </c>
      <c r="CE28" s="141">
        <v>0.27</v>
      </c>
      <c r="CF28" s="142">
        <v>0.23</v>
      </c>
    </row>
    <row r="29" spans="2:84" ht="22.5" customHeight="1">
      <c r="B29" s="122" t="s">
        <v>78</v>
      </c>
      <c r="C29" s="123"/>
      <c r="D29" s="124"/>
      <c r="R29" s="10">
        <v>5</v>
      </c>
      <c r="S29" s="26" t="s">
        <v>7</v>
      </c>
      <c r="T29" s="143">
        <v>0.719</v>
      </c>
      <c r="U29" s="136">
        <v>0.654</v>
      </c>
      <c r="V29" s="136">
        <v>0.524</v>
      </c>
      <c r="W29" s="136">
        <v>0.407</v>
      </c>
      <c r="X29" s="136">
        <v>0.28</v>
      </c>
      <c r="Y29" s="136">
        <v>0.211</v>
      </c>
      <c r="Z29" s="136">
        <v>0.185</v>
      </c>
      <c r="AA29" s="136">
        <v>0.158</v>
      </c>
      <c r="AB29" s="136">
        <v>0.127</v>
      </c>
      <c r="AC29" s="136">
        <v>0.101</v>
      </c>
      <c r="AD29" s="136">
        <v>0.078</v>
      </c>
      <c r="AE29" s="137">
        <v>0.065</v>
      </c>
      <c r="AG29" s="33" t="s">
        <v>31</v>
      </c>
      <c r="AH29" s="34"/>
      <c r="AI29" s="34"/>
      <c r="AJ29" s="34"/>
      <c r="AK29" s="34"/>
      <c r="AL29" s="34"/>
      <c r="AM29" s="34"/>
      <c r="AN29" s="33" t="s">
        <v>28</v>
      </c>
      <c r="AO29" s="34"/>
      <c r="AP29" s="34"/>
      <c r="AQ29" s="34"/>
      <c r="AR29" s="34"/>
      <c r="AS29" s="34"/>
      <c r="AU29" s="9">
        <v>3</v>
      </c>
      <c r="AV29" s="43" t="s">
        <v>5</v>
      </c>
      <c r="AW29" s="143">
        <v>0.166</v>
      </c>
      <c r="AX29" s="136">
        <v>0.142</v>
      </c>
      <c r="AY29" s="136">
        <v>0.106</v>
      </c>
      <c r="AZ29" s="136">
        <v>0.082</v>
      </c>
      <c r="BA29" s="136">
        <v>0.069</v>
      </c>
      <c r="BB29" s="136">
        <v>0.052</v>
      </c>
      <c r="BC29" s="136">
        <v>0.041</v>
      </c>
      <c r="BD29" s="136">
        <v>0.034</v>
      </c>
      <c r="BE29" s="136">
        <v>0.021</v>
      </c>
      <c r="BF29" s="137">
        <v>0.018</v>
      </c>
      <c r="BH29" s="9">
        <v>3</v>
      </c>
      <c r="BI29" s="43" t="s">
        <v>5</v>
      </c>
      <c r="BJ29" s="143">
        <v>0.261</v>
      </c>
      <c r="BK29" s="136">
        <v>0.23</v>
      </c>
      <c r="BL29" s="136">
        <v>0.131</v>
      </c>
      <c r="BM29" s="136">
        <v>0.084</v>
      </c>
      <c r="BN29" s="136">
        <v>0.074</v>
      </c>
      <c r="BO29" s="136">
        <v>0.056</v>
      </c>
      <c r="BP29" s="136">
        <v>0.04</v>
      </c>
      <c r="BQ29" s="137">
        <v>0.032</v>
      </c>
      <c r="BR29" s="7">
        <v>0.021</v>
      </c>
      <c r="BS29" s="7">
        <v>0.019</v>
      </c>
      <c r="BU29" s="9">
        <v>3</v>
      </c>
      <c r="BV29" s="43" t="s">
        <v>5</v>
      </c>
      <c r="BW29" s="143">
        <v>0.677</v>
      </c>
      <c r="BX29" s="136">
        <v>0.58</v>
      </c>
      <c r="BY29" s="136">
        <v>0.486</v>
      </c>
      <c r="BZ29" s="136">
        <v>0.32</v>
      </c>
      <c r="CA29" s="136">
        <v>0.261</v>
      </c>
      <c r="CB29" s="136">
        <v>0.217</v>
      </c>
      <c r="CC29" s="136">
        <v>0.146</v>
      </c>
      <c r="CD29" s="136">
        <v>0.127</v>
      </c>
      <c r="CE29" s="136">
        <v>0.11</v>
      </c>
      <c r="CF29" s="137">
        <v>0.092</v>
      </c>
    </row>
    <row r="30" spans="2:84" ht="20.25" customHeight="1">
      <c r="B30" s="95" t="s">
        <v>51</v>
      </c>
      <c r="C30" s="109">
        <f>$C$9</f>
        <v>91698048000</v>
      </c>
      <c r="D30" s="110" t="s">
        <v>79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U30" s="9">
        <v>4</v>
      </c>
      <c r="AV30" s="43" t="s">
        <v>6</v>
      </c>
      <c r="AW30" s="144">
        <v>0.183</v>
      </c>
      <c r="AX30" s="141">
        <v>0.158</v>
      </c>
      <c r="AY30" s="141">
        <v>0.119</v>
      </c>
      <c r="AZ30" s="141">
        <v>0.092</v>
      </c>
      <c r="BA30" s="141">
        <v>0.07</v>
      </c>
      <c r="BB30" s="141">
        <v>0.053</v>
      </c>
      <c r="BC30" s="141">
        <v>0.04</v>
      </c>
      <c r="BD30" s="141">
        <v>0.034</v>
      </c>
      <c r="BE30" s="141">
        <v>0.024</v>
      </c>
      <c r="BF30" s="141">
        <v>0.021</v>
      </c>
      <c r="BH30" s="9">
        <v>4</v>
      </c>
      <c r="BI30" s="43" t="s">
        <v>6</v>
      </c>
      <c r="BJ30" s="144">
        <v>0.281</v>
      </c>
      <c r="BK30" s="141">
        <v>0.245</v>
      </c>
      <c r="BL30" s="141">
        <v>0.14</v>
      </c>
      <c r="BM30" s="141">
        <v>0.09</v>
      </c>
      <c r="BN30" s="141">
        <v>0.078</v>
      </c>
      <c r="BO30" s="141">
        <v>0.061</v>
      </c>
      <c r="BP30" s="141">
        <v>0.05</v>
      </c>
      <c r="BQ30" s="142">
        <v>0.037</v>
      </c>
      <c r="BR30" s="7">
        <v>0.024</v>
      </c>
      <c r="BS30" s="7">
        <v>0.02</v>
      </c>
      <c r="BU30" s="9">
        <v>4</v>
      </c>
      <c r="BV30" s="43" t="s">
        <v>6</v>
      </c>
      <c r="BW30" s="144">
        <v>0.718</v>
      </c>
      <c r="BX30" s="141">
        <v>0.585</v>
      </c>
      <c r="BY30" s="141">
        <v>0.52</v>
      </c>
      <c r="BZ30" s="141">
        <v>0.344</v>
      </c>
      <c r="CA30" s="141">
        <v>0.276</v>
      </c>
      <c r="CB30" s="141">
        <v>0.232</v>
      </c>
      <c r="CC30" s="141">
        <v>0.159</v>
      </c>
      <c r="CD30" s="141">
        <v>0.138</v>
      </c>
      <c r="CE30" s="141">
        <v>0.12</v>
      </c>
      <c r="CF30" s="141">
        <v>0.098</v>
      </c>
    </row>
    <row r="31" spans="2:84" ht="20.25" customHeight="1">
      <c r="B31" s="95" t="s">
        <v>52</v>
      </c>
      <c r="C31" s="109">
        <f>$C$10</f>
        <v>0</v>
      </c>
      <c r="D31" s="110" t="s">
        <v>80</v>
      </c>
      <c r="R31" s="2"/>
      <c r="S31" s="13" t="s">
        <v>41</v>
      </c>
      <c r="T31" s="14">
        <f>'Chi phi Du an- NHAVIET'!$C$5</f>
        <v>4</v>
      </c>
      <c r="U31" s="15"/>
      <c r="V31" s="2"/>
      <c r="W31" s="2"/>
      <c r="X31" s="2"/>
      <c r="Y31" s="2"/>
      <c r="Z31" s="2"/>
      <c r="AA31" s="2"/>
      <c r="AB31" s="2"/>
      <c r="AC31" s="2"/>
      <c r="AD31" s="2"/>
      <c r="AE31" s="2"/>
      <c r="AG31" s="35"/>
      <c r="AH31" s="155" t="s">
        <v>8</v>
      </c>
      <c r="AI31" s="155"/>
      <c r="AJ31" s="155"/>
      <c r="AK31" s="86"/>
      <c r="AL31" s="86"/>
      <c r="AM31" s="34"/>
      <c r="AN31" s="35"/>
      <c r="AO31" s="155" t="s">
        <v>8</v>
      </c>
      <c r="AP31" s="155"/>
      <c r="AQ31" s="155"/>
      <c r="AR31" s="155"/>
      <c r="AS31" s="155"/>
      <c r="AU31" s="10">
        <v>5</v>
      </c>
      <c r="AV31" s="44" t="s">
        <v>7</v>
      </c>
      <c r="AW31" s="143">
        <v>0.191</v>
      </c>
      <c r="AX31" s="136">
        <v>0.166</v>
      </c>
      <c r="AY31" s="136">
        <v>0.128</v>
      </c>
      <c r="AZ31" s="136">
        <v>0.095</v>
      </c>
      <c r="BA31" s="136">
        <v>0.072</v>
      </c>
      <c r="BB31" s="136">
        <v>0.056</v>
      </c>
      <c r="BC31" s="136">
        <v>0.044</v>
      </c>
      <c r="BD31" s="136">
        <v>0.037</v>
      </c>
      <c r="BE31" s="136">
        <v>0.026</v>
      </c>
      <c r="BF31" s="137">
        <v>0.022</v>
      </c>
      <c r="BH31" s="10">
        <v>5</v>
      </c>
      <c r="BI31" s="44" t="s">
        <v>7</v>
      </c>
      <c r="BJ31" s="143">
        <v>0.302</v>
      </c>
      <c r="BK31" s="136">
        <v>0.26</v>
      </c>
      <c r="BL31" s="136">
        <v>0.156</v>
      </c>
      <c r="BM31" s="136">
        <v>0.102</v>
      </c>
      <c r="BN31" s="136">
        <v>0.087</v>
      </c>
      <c r="BO31" s="136">
        <v>0.069</v>
      </c>
      <c r="BP31" s="136">
        <v>0.054</v>
      </c>
      <c r="BQ31" s="137">
        <v>0.041</v>
      </c>
      <c r="BR31" s="12">
        <v>0.026</v>
      </c>
      <c r="BS31" s="12">
        <v>0.022</v>
      </c>
      <c r="BU31" s="10">
        <v>5</v>
      </c>
      <c r="BV31" s="44" t="s">
        <v>7</v>
      </c>
      <c r="BW31" s="143">
        <v>0.803</v>
      </c>
      <c r="BX31" s="136">
        <v>0.69</v>
      </c>
      <c r="BY31" s="136">
        <v>0.575</v>
      </c>
      <c r="BZ31" s="136">
        <v>0.383</v>
      </c>
      <c r="CA31" s="136">
        <v>0.3</v>
      </c>
      <c r="CB31" s="136">
        <v>0.261</v>
      </c>
      <c r="CC31" s="136">
        <v>0.173</v>
      </c>
      <c r="CD31" s="136">
        <v>0.15</v>
      </c>
      <c r="CE31" s="136">
        <v>0.126</v>
      </c>
      <c r="CF31" s="137">
        <v>0.105</v>
      </c>
    </row>
    <row r="32" spans="2:84" ht="20.25" customHeight="1">
      <c r="B32" s="111" t="s">
        <v>76</v>
      </c>
      <c r="C32" s="112">
        <f>SUM($D$13:$D$22)+SUM($D$25:$D$27)</f>
        <v>5680272972.219391</v>
      </c>
      <c r="D32" s="113" t="s">
        <v>81</v>
      </c>
      <c r="R32" s="2"/>
      <c r="S32" s="13" t="s">
        <v>42</v>
      </c>
      <c r="T32" s="16">
        <f>SUM('Chi phi Du an- NHAVIET'!$C$9:$C$10)/1000000000</f>
        <v>91.698048</v>
      </c>
      <c r="U32" s="15"/>
      <c r="V32" s="2"/>
      <c r="W32" s="2"/>
      <c r="X32" s="2"/>
      <c r="Y32" s="2"/>
      <c r="Z32" s="2"/>
      <c r="AA32" s="2"/>
      <c r="AB32" s="2"/>
      <c r="AC32" s="2"/>
      <c r="AD32" s="2"/>
      <c r="AE32" s="2"/>
      <c r="AG32" s="147" t="s">
        <v>10</v>
      </c>
      <c r="AH32" s="152" t="s">
        <v>12</v>
      </c>
      <c r="AI32" s="153"/>
      <c r="AJ32" s="153"/>
      <c r="AK32" s="153"/>
      <c r="AL32" s="154"/>
      <c r="AM32" s="34"/>
      <c r="AN32" s="147" t="s">
        <v>10</v>
      </c>
      <c r="AO32" s="152" t="s">
        <v>12</v>
      </c>
      <c r="AP32" s="153"/>
      <c r="AQ32" s="153"/>
      <c r="AR32" s="153"/>
      <c r="AS32" s="154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2:84" ht="22.5" customHeight="1">
      <c r="B33" s="111" t="s">
        <v>77</v>
      </c>
      <c r="C33" s="112">
        <f>SUM($C$30:$C$32)*10%</f>
        <v>9737832097.22194</v>
      </c>
      <c r="D33" s="113" t="s">
        <v>82</v>
      </c>
      <c r="R33" s="2"/>
      <c r="S33" s="13" t="s">
        <v>45</v>
      </c>
      <c r="T33" s="17">
        <f>IF(T32=0,0,IF(T35=U35,T36,(U36-T36)/(U35-T35)*(T32-T35)+T36))</f>
        <v>0.5140380032</v>
      </c>
      <c r="U33" s="15"/>
      <c r="V33" s="2"/>
      <c r="W33" s="2"/>
      <c r="X33" s="2"/>
      <c r="Y33" s="2"/>
      <c r="Z33" s="2"/>
      <c r="AA33" s="2"/>
      <c r="AB33" s="2"/>
      <c r="AC33" s="2"/>
      <c r="AD33" s="2"/>
      <c r="AE33" s="2"/>
      <c r="AG33" s="148" t="s">
        <v>11</v>
      </c>
      <c r="AH33" s="36" t="s">
        <v>13</v>
      </c>
      <c r="AI33" s="36" t="s">
        <v>14</v>
      </c>
      <c r="AJ33" s="36" t="s">
        <v>15</v>
      </c>
      <c r="AK33" s="36" t="s">
        <v>17</v>
      </c>
      <c r="AL33" s="36" t="s">
        <v>18</v>
      </c>
      <c r="AM33" s="34"/>
      <c r="AN33" s="148" t="s">
        <v>11</v>
      </c>
      <c r="AO33" s="36" t="s">
        <v>13</v>
      </c>
      <c r="AP33" s="36" t="s">
        <v>14</v>
      </c>
      <c r="AQ33" s="36" t="s">
        <v>15</v>
      </c>
      <c r="AR33" s="36" t="s">
        <v>17</v>
      </c>
      <c r="AS33" s="36" t="s">
        <v>18</v>
      </c>
      <c r="AU33" s="2"/>
      <c r="AV33" s="13" t="s">
        <v>41</v>
      </c>
      <c r="AW33" s="14">
        <f>'Chi phi Du an- NHAVIET'!$C$5</f>
        <v>4</v>
      </c>
      <c r="AX33" s="15"/>
      <c r="AY33" s="2"/>
      <c r="AZ33" s="2"/>
      <c r="BA33" s="2"/>
      <c r="BB33" s="2"/>
      <c r="BC33" s="2"/>
      <c r="BD33" s="2"/>
      <c r="BE33" s="2"/>
      <c r="BF33" s="2"/>
      <c r="BH33" s="2"/>
      <c r="BI33" s="13" t="s">
        <v>41</v>
      </c>
      <c r="BJ33" s="14">
        <f>'Chi phi Du an- NHAVIET'!$C$5</f>
        <v>4</v>
      </c>
      <c r="BK33" s="15"/>
      <c r="BL33" s="2"/>
      <c r="BM33" s="2"/>
      <c r="BN33" s="2"/>
      <c r="BO33" s="2"/>
      <c r="BP33" s="2"/>
      <c r="BQ33" s="2"/>
      <c r="BR33" s="2"/>
      <c r="BS33" s="2"/>
      <c r="BU33" s="2"/>
      <c r="BV33" s="13" t="s">
        <v>41</v>
      </c>
      <c r="BW33" s="14">
        <f>'Chi phi Du an- NHAVIET'!$C$5</f>
        <v>4</v>
      </c>
      <c r="BX33" s="15"/>
      <c r="BY33" s="2"/>
      <c r="BZ33" s="2"/>
      <c r="CA33" s="2"/>
      <c r="CB33" s="2"/>
      <c r="CC33" s="2"/>
      <c r="CD33" s="2"/>
      <c r="CE33" s="2"/>
      <c r="CF33" s="2"/>
    </row>
    <row r="34" spans="2:84" ht="20.25" customHeight="1">
      <c r="B34" s="111" t="s">
        <v>84</v>
      </c>
      <c r="C34" s="112">
        <f>SUM($C$30:$C$33)</f>
        <v>107116153069.44133</v>
      </c>
      <c r="D34" s="113" t="s">
        <v>83</v>
      </c>
      <c r="R34" s="2"/>
      <c r="S34" s="18"/>
      <c r="T34" s="18">
        <f>IF(T32&lt;T24,1,MATCH(T32,T24:AE24,1))</f>
        <v>3</v>
      </c>
      <c r="U34" s="15">
        <f>IF(OR(T32&lt;T24,T32&gt;AE24),T34,T34+1)</f>
        <v>4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G34" s="20"/>
      <c r="AH34" s="36">
        <v>1</v>
      </c>
      <c r="AI34" s="36">
        <v>2</v>
      </c>
      <c r="AJ34" s="36">
        <v>3</v>
      </c>
      <c r="AK34" s="36">
        <v>4</v>
      </c>
      <c r="AL34" s="36">
        <v>5</v>
      </c>
      <c r="AM34" s="34"/>
      <c r="AN34" s="20"/>
      <c r="AO34" s="36">
        <v>1</v>
      </c>
      <c r="AP34" s="36">
        <v>2</v>
      </c>
      <c r="AQ34" s="36">
        <v>3</v>
      </c>
      <c r="AR34" s="36">
        <v>4</v>
      </c>
      <c r="AS34" s="36">
        <v>5</v>
      </c>
      <c r="AU34" s="2"/>
      <c r="AV34" s="13" t="s">
        <v>43</v>
      </c>
      <c r="AW34" s="16">
        <f>'Chi phi Du an- NHAVIET'!$C$9/1000000000</f>
        <v>91.698048</v>
      </c>
      <c r="AX34" s="15"/>
      <c r="AY34" s="2"/>
      <c r="AZ34" s="2"/>
      <c r="BA34" s="2"/>
      <c r="BB34" s="2"/>
      <c r="BC34" s="2"/>
      <c r="BD34" s="2"/>
      <c r="BE34" s="2"/>
      <c r="BF34" s="2"/>
      <c r="BH34" s="2"/>
      <c r="BI34" s="13" t="s">
        <v>43</v>
      </c>
      <c r="BJ34" s="16">
        <f>'Chi phi Du an- NHAVIET'!$C$9/1000000000</f>
        <v>91.698048</v>
      </c>
      <c r="BK34" s="15"/>
      <c r="BL34" s="2"/>
      <c r="BM34" s="2"/>
      <c r="BN34" s="2"/>
      <c r="BO34" s="2"/>
      <c r="BP34" s="2"/>
      <c r="BQ34" s="2"/>
      <c r="BR34" s="2"/>
      <c r="BS34" s="2"/>
      <c r="BU34" s="2"/>
      <c r="BV34" s="13" t="s">
        <v>44</v>
      </c>
      <c r="BW34" s="16">
        <f>'Chi phi Du an- NHAVIET'!$C$10/1000000000</f>
        <v>0</v>
      </c>
      <c r="BX34" s="15"/>
      <c r="BY34" s="2"/>
      <c r="BZ34" s="2"/>
      <c r="CA34" s="2"/>
      <c r="CB34" s="2"/>
      <c r="CC34" s="2"/>
      <c r="CD34" s="2"/>
      <c r="CE34" s="2"/>
      <c r="CF34" s="2"/>
    </row>
    <row r="35" spans="2:84" ht="22.5" customHeight="1">
      <c r="B35" s="126" t="s">
        <v>91</v>
      </c>
      <c r="C35" s="126"/>
      <c r="D35" s="127"/>
      <c r="R35" s="2"/>
      <c r="S35" s="18"/>
      <c r="T35" s="18">
        <f ca="1">OFFSET(T24,0,T34-1)</f>
        <v>50</v>
      </c>
      <c r="U35" s="18">
        <f ca="1">OFFSET(T24,0,U34-1)</f>
        <v>100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G35" s="46">
        <v>10</v>
      </c>
      <c r="AH35" s="143">
        <v>2.96</v>
      </c>
      <c r="AI35" s="136">
        <v>2.47</v>
      </c>
      <c r="AJ35" s="136">
        <v>2.03</v>
      </c>
      <c r="AK35" s="136">
        <v>1.78</v>
      </c>
      <c r="AL35" s="137">
        <v>1.59</v>
      </c>
      <c r="AM35" s="34"/>
      <c r="AN35" s="46">
        <v>10</v>
      </c>
      <c r="AO35" s="143">
        <v>4.7</v>
      </c>
      <c r="AP35" s="136">
        <v>3.87</v>
      </c>
      <c r="AQ35" s="136">
        <v>3.13</v>
      </c>
      <c r="AR35" s="136">
        <v>2.78</v>
      </c>
      <c r="AS35" s="137">
        <v>2.46</v>
      </c>
      <c r="AU35" s="2"/>
      <c r="AV35" s="13" t="s">
        <v>45</v>
      </c>
      <c r="AW35" s="17">
        <f>IF(AW34=0,0,IF(AW37=AX37,AW38,(AX38-AW38)/(AX37-AW37)*(AW34-AW37)+AW38))</f>
        <v>0.09648305407999999</v>
      </c>
      <c r="AX35" s="15"/>
      <c r="AY35" s="2"/>
      <c r="AZ35" s="2"/>
      <c r="BA35" s="2"/>
      <c r="BB35" s="2"/>
      <c r="BC35" s="2"/>
      <c r="BD35" s="2"/>
      <c r="BE35" s="2"/>
      <c r="BF35" s="2"/>
      <c r="BH35" s="2"/>
      <c r="BI35" s="13" t="s">
        <v>45</v>
      </c>
      <c r="BJ35" s="17">
        <f>IF(BJ34=0,0,IF(BJ37=BK37,BJ38,(BK38-BJ38)/(BK37-BJ37)*(BJ34-BJ37)+BJ38))</f>
        <v>0.098301952</v>
      </c>
      <c r="BK35" s="15"/>
      <c r="BL35" s="2"/>
      <c r="BM35" s="2"/>
      <c r="BN35" s="2"/>
      <c r="BO35" s="2"/>
      <c r="BP35" s="2"/>
      <c r="BQ35" s="2"/>
      <c r="BR35" s="2"/>
      <c r="BS35" s="2"/>
      <c r="BU35" s="2"/>
      <c r="BV35" s="13" t="s">
        <v>45</v>
      </c>
      <c r="BW35" s="17">
        <f>IF(BW34=0,0,IF(BW37=BX37,BW38,(BX38-BW38)/(BX37-BW37)*(BW34-BW37)+BW38))</f>
        <v>0</v>
      </c>
      <c r="BX35" s="15"/>
      <c r="BY35" s="2"/>
      <c r="BZ35" s="2"/>
      <c r="CA35" s="2"/>
      <c r="CB35" s="2"/>
      <c r="CC35" s="2"/>
      <c r="CD35" s="2"/>
      <c r="CE35" s="2"/>
      <c r="CF35" s="2"/>
    </row>
    <row r="36" spans="2:84" ht="22.5" customHeight="1">
      <c r="B36" s="111" t="s">
        <v>104</v>
      </c>
      <c r="C36" s="114">
        <f>ROUND('Chi phi Du an- NHAVIET'!$CI$12,3)</f>
        <v>0.179</v>
      </c>
      <c r="D36" s="115">
        <f>$C$34*C36%</f>
        <v>191737913.99429998</v>
      </c>
      <c r="R36" s="2"/>
      <c r="S36" s="18"/>
      <c r="T36" s="19">
        <f ca="1">OFFSET(T24,T31,T34-1)</f>
        <v>0.685</v>
      </c>
      <c r="U36" s="19">
        <f ca="1">OFFSET(T24,T31,U34-1)</f>
        <v>0.48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G36" s="38">
        <v>20</v>
      </c>
      <c r="AH36" s="144">
        <v>2.73</v>
      </c>
      <c r="AI36" s="141">
        <v>2.27</v>
      </c>
      <c r="AJ36" s="141">
        <v>1.86</v>
      </c>
      <c r="AK36" s="141">
        <v>1.65</v>
      </c>
      <c r="AL36" s="142">
        <v>1.47</v>
      </c>
      <c r="AM36" s="34"/>
      <c r="AN36" s="38">
        <v>20</v>
      </c>
      <c r="AO36" s="144">
        <v>4.27</v>
      </c>
      <c r="AP36" s="141">
        <v>3.57</v>
      </c>
      <c r="AQ36" s="141">
        <v>2.9</v>
      </c>
      <c r="AR36" s="141">
        <v>2.57</v>
      </c>
      <c r="AS36" s="142">
        <v>2.25</v>
      </c>
      <c r="AU36" s="2"/>
      <c r="AV36" s="18"/>
      <c r="AW36" s="18">
        <f>IF(AW34&lt;AW26,1,MATCH(AW34,AW26:BF26,1))</f>
        <v>3</v>
      </c>
      <c r="AX36" s="15">
        <f>IF(OR(AW34&lt;AW26,AW34&gt;BF26),AW36,AW36+1)</f>
        <v>4</v>
      </c>
      <c r="AY36" s="2"/>
      <c r="AZ36" s="2"/>
      <c r="BA36" s="2"/>
      <c r="BB36" s="2"/>
      <c r="BC36" s="2"/>
      <c r="BD36" s="2"/>
      <c r="BE36" s="2"/>
      <c r="BF36" s="2"/>
      <c r="BH36" s="2"/>
      <c r="BI36" s="18"/>
      <c r="BJ36" s="18">
        <f>IF(BJ34&lt;BJ26,1,MATCH(BJ34,BJ26:BS26,1))</f>
        <v>3</v>
      </c>
      <c r="BK36" s="15">
        <f>IF(OR(BJ34&lt;BJ26,BJ34&gt;BS26),BJ36,BJ36+1)</f>
        <v>4</v>
      </c>
      <c r="BL36" s="2"/>
      <c r="BM36" s="2"/>
      <c r="BN36" s="2"/>
      <c r="BO36" s="2"/>
      <c r="BP36" s="2"/>
      <c r="BQ36" s="2"/>
      <c r="BR36" s="2"/>
      <c r="BS36" s="2"/>
      <c r="BU36" s="2"/>
      <c r="BV36" s="18"/>
      <c r="BW36" s="18">
        <f>IF(BW34&lt;BW26,1,MATCH(BW34,BW26:CF26,1))</f>
        <v>1</v>
      </c>
      <c r="BX36" s="15">
        <f>IF(OR(BW34&lt;BW26,BW34&gt;CF26),BW36,BW36+1)</f>
        <v>1</v>
      </c>
      <c r="BY36" s="2"/>
      <c r="BZ36" s="2"/>
      <c r="CA36" s="2"/>
      <c r="CB36" s="2"/>
      <c r="CC36" s="2"/>
      <c r="CD36" s="2"/>
      <c r="CE36" s="2"/>
      <c r="CF36" s="2"/>
    </row>
    <row r="37" spans="2:84" ht="22.5" customHeight="1">
      <c r="B37" s="95" t="s">
        <v>101</v>
      </c>
      <c r="C37" s="116">
        <f>ROUND('Chi phi Du an- NHAVIET'!$CI$11,3)</f>
        <v>0.129</v>
      </c>
      <c r="D37" s="117">
        <f>$C$34*C37%</f>
        <v>138179837.45957932</v>
      </c>
      <c r="R37" s="2"/>
      <c r="S37" s="18"/>
      <c r="T37" s="19"/>
      <c r="U37" s="19"/>
      <c r="V37" s="2"/>
      <c r="W37" s="2"/>
      <c r="X37" s="2"/>
      <c r="Y37" s="2"/>
      <c r="Z37" s="2"/>
      <c r="AA37" s="2"/>
      <c r="AB37" s="2"/>
      <c r="AC37" s="2"/>
      <c r="AD37" s="2"/>
      <c r="AG37" s="38">
        <v>50</v>
      </c>
      <c r="AH37" s="143">
        <v>2.34</v>
      </c>
      <c r="AI37" s="136">
        <v>1.93</v>
      </c>
      <c r="AJ37" s="136">
        <v>1.59</v>
      </c>
      <c r="AK37" s="136">
        <v>1.4</v>
      </c>
      <c r="AL37" s="137">
        <v>1.24</v>
      </c>
      <c r="AM37" s="34"/>
      <c r="AN37" s="38">
        <v>50</v>
      </c>
      <c r="AO37" s="143">
        <v>3.66</v>
      </c>
      <c r="AP37" s="136">
        <v>3.02</v>
      </c>
      <c r="AQ37" s="136">
        <v>2.43</v>
      </c>
      <c r="AR37" s="136">
        <v>2.16</v>
      </c>
      <c r="AS37" s="137">
        <v>1.89</v>
      </c>
      <c r="AU37" s="2"/>
      <c r="AV37" s="18"/>
      <c r="AW37" s="18">
        <f ca="1">OFFSET(AW26,0,AW36-1)</f>
        <v>50</v>
      </c>
      <c r="AX37" s="18">
        <f ca="1">OFFSET(AW26,0,AX36-1)</f>
        <v>100</v>
      </c>
      <c r="AY37" s="2"/>
      <c r="AZ37" s="2"/>
      <c r="BA37" s="2"/>
      <c r="BB37" s="2"/>
      <c r="BC37" s="2"/>
      <c r="BD37" s="2"/>
      <c r="BE37" s="2"/>
      <c r="BF37" s="2"/>
      <c r="BH37" s="2"/>
      <c r="BI37" s="18"/>
      <c r="BJ37" s="18">
        <f ca="1">OFFSET(BJ26,0,BJ36-1)</f>
        <v>50</v>
      </c>
      <c r="BK37" s="18">
        <f ca="1">OFFSET(BJ26,0,BK36-1)</f>
        <v>100</v>
      </c>
      <c r="BL37" s="2"/>
      <c r="BM37" s="2"/>
      <c r="BN37" s="2"/>
      <c r="BO37" s="2"/>
      <c r="BP37" s="2"/>
      <c r="BQ37" s="2"/>
      <c r="BR37" s="2"/>
      <c r="BS37" s="2"/>
      <c r="BU37" s="2"/>
      <c r="BV37" s="18"/>
      <c r="BW37" s="18">
        <f ca="1">OFFSET(BW26,0,BW36-1)</f>
        <v>10</v>
      </c>
      <c r="BX37" s="18">
        <f ca="1">OFFSET(BW26,0,BX36-1)</f>
        <v>10</v>
      </c>
      <c r="BY37" s="2"/>
      <c r="BZ37" s="2"/>
      <c r="CA37" s="2"/>
      <c r="CB37" s="2"/>
      <c r="CC37" s="2"/>
      <c r="CD37" s="2"/>
      <c r="CE37" s="2"/>
      <c r="CF37" s="2"/>
    </row>
    <row r="38" spans="2:84" ht="26.25" customHeight="1" thickBot="1">
      <c r="B38" s="128" t="s">
        <v>92</v>
      </c>
      <c r="C38" s="129">
        <f>$C$34+SUM(D36:D37)</f>
        <v>107446070820.8952</v>
      </c>
      <c r="D38" s="130" t="s">
        <v>103</v>
      </c>
      <c r="R38" s="1" t="s">
        <v>25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G38" s="38">
        <v>100</v>
      </c>
      <c r="AH38" s="144">
        <v>2.13</v>
      </c>
      <c r="AI38" s="141">
        <v>1.77</v>
      </c>
      <c r="AJ38" s="141">
        <v>1.46</v>
      </c>
      <c r="AK38" s="141">
        <v>1.27</v>
      </c>
      <c r="AL38" s="142">
        <v>1.14</v>
      </c>
      <c r="AM38" s="34"/>
      <c r="AN38" s="38">
        <v>100</v>
      </c>
      <c r="AO38" s="144">
        <v>3.32</v>
      </c>
      <c r="AP38" s="141">
        <v>2.77</v>
      </c>
      <c r="AQ38" s="141">
        <v>2.24</v>
      </c>
      <c r="AR38" s="141">
        <v>1.99</v>
      </c>
      <c r="AS38" s="142">
        <v>1.72</v>
      </c>
      <c r="AU38" s="2"/>
      <c r="AV38" s="18"/>
      <c r="AW38" s="19">
        <f ca="1">OFFSET(AW26,AW33,AW36-1)</f>
        <v>0.119</v>
      </c>
      <c r="AX38" s="19">
        <f ca="1">OFFSET(AW26,AW33,AX36-1)</f>
        <v>0.092</v>
      </c>
      <c r="AY38" s="2"/>
      <c r="AZ38" s="2"/>
      <c r="BA38" s="2"/>
      <c r="BB38" s="2"/>
      <c r="BC38" s="2"/>
      <c r="BD38" s="2"/>
      <c r="BE38" s="2"/>
      <c r="BF38" s="2"/>
      <c r="BH38" s="2"/>
      <c r="BI38" s="18"/>
      <c r="BJ38" s="19">
        <f ca="1">OFFSET(BJ26,BJ33,BJ36-1)</f>
        <v>0.14</v>
      </c>
      <c r="BK38" s="19">
        <f ca="1">OFFSET(BJ26,BJ33,BK36-1)</f>
        <v>0.09</v>
      </c>
      <c r="BL38" s="2"/>
      <c r="BM38" s="2"/>
      <c r="BN38" s="2"/>
      <c r="BO38" s="2"/>
      <c r="BP38" s="2"/>
      <c r="BQ38" s="2"/>
      <c r="BR38" s="2"/>
      <c r="BS38" s="2"/>
      <c r="BU38" s="2"/>
      <c r="BV38" s="18"/>
      <c r="BW38" s="19">
        <f ca="1">OFFSET(BW26,BW33,BW36-1)</f>
        <v>0.718</v>
      </c>
      <c r="BX38" s="19">
        <f ca="1">OFFSET(BW26,BW33,BX36-1)</f>
        <v>0.718</v>
      </c>
      <c r="BY38" s="2"/>
      <c r="BZ38" s="2"/>
      <c r="CA38" s="2"/>
      <c r="CB38" s="2"/>
      <c r="CC38" s="2"/>
      <c r="CD38" s="2"/>
      <c r="CE38" s="2"/>
      <c r="CF38" s="2"/>
    </row>
    <row r="39" spans="18:84" ht="17.25" customHeight="1"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G39" s="38">
        <v>200</v>
      </c>
      <c r="AH39" s="143">
        <v>1.92</v>
      </c>
      <c r="AI39" s="136">
        <v>1.6</v>
      </c>
      <c r="AJ39" s="136">
        <v>1.32</v>
      </c>
      <c r="AK39" s="136">
        <v>1.17</v>
      </c>
      <c r="AL39" s="137">
        <v>0.98</v>
      </c>
      <c r="AM39" s="34"/>
      <c r="AN39" s="38">
        <v>200</v>
      </c>
      <c r="AO39" s="143">
        <v>3.01</v>
      </c>
      <c r="AP39" s="136">
        <v>2.5</v>
      </c>
      <c r="AQ39" s="136">
        <v>2.03</v>
      </c>
      <c r="AR39" s="136">
        <v>1.79</v>
      </c>
      <c r="AS39" s="137">
        <v>1.47</v>
      </c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8:45" ht="17.25" customHeight="1">
      <c r="R40" s="27"/>
      <c r="S40" s="27"/>
      <c r="T40" s="27"/>
      <c r="U40" s="28"/>
      <c r="V40" s="28" t="s">
        <v>8</v>
      </c>
      <c r="W40" s="2"/>
      <c r="X40" s="2"/>
      <c r="Y40" s="2"/>
      <c r="Z40" s="2"/>
      <c r="AA40" s="2"/>
      <c r="AB40" s="2"/>
      <c r="AC40" s="2"/>
      <c r="AD40" s="2"/>
      <c r="AG40" s="38">
        <v>500</v>
      </c>
      <c r="AH40" s="144">
        <v>1.76</v>
      </c>
      <c r="AI40" s="141">
        <v>1.46</v>
      </c>
      <c r="AJ40" s="141">
        <v>1.2</v>
      </c>
      <c r="AK40" s="141">
        <v>1.06</v>
      </c>
      <c r="AL40" s="142">
        <v>0.83</v>
      </c>
      <c r="AM40" s="34"/>
      <c r="AN40" s="38">
        <v>500</v>
      </c>
      <c r="AO40" s="144">
        <v>2.75</v>
      </c>
      <c r="AP40" s="141">
        <v>2.28</v>
      </c>
      <c r="AQ40" s="141">
        <v>1.9</v>
      </c>
      <c r="AR40" s="141">
        <v>1.68</v>
      </c>
      <c r="AS40" s="142">
        <v>1.22</v>
      </c>
    </row>
    <row r="41" spans="2:45" ht="19.5" thickBot="1">
      <c r="B41" s="132" t="s">
        <v>110</v>
      </c>
      <c r="C41" s="118"/>
      <c r="D41" s="118"/>
      <c r="R41" s="27"/>
      <c r="S41" s="27"/>
      <c r="T41" s="27"/>
      <c r="U41" s="28"/>
      <c r="V41" s="28"/>
      <c r="W41" s="2"/>
      <c r="X41" s="2"/>
      <c r="Y41" s="2"/>
      <c r="Z41" s="2"/>
      <c r="AA41" s="2"/>
      <c r="AB41" s="2"/>
      <c r="AC41" s="2"/>
      <c r="AD41" s="2"/>
      <c r="AG41" s="37">
        <v>1000</v>
      </c>
      <c r="AH41" s="143">
        <v>1.54</v>
      </c>
      <c r="AI41" s="136">
        <v>1.28</v>
      </c>
      <c r="AJ41" s="136">
        <v>1.05</v>
      </c>
      <c r="AK41" s="136">
        <v>0.93</v>
      </c>
      <c r="AL41" s="137" t="s">
        <v>16</v>
      </c>
      <c r="AM41" s="34"/>
      <c r="AN41" s="37">
        <v>1000</v>
      </c>
      <c r="AO41" s="143">
        <v>2.4</v>
      </c>
      <c r="AP41" s="136">
        <v>2.01</v>
      </c>
      <c r="AQ41" s="136">
        <v>1.66</v>
      </c>
      <c r="AR41" s="136">
        <v>1.47</v>
      </c>
      <c r="AS41" s="137" t="s">
        <v>16</v>
      </c>
    </row>
    <row r="42" spans="2:45" ht="19.5" thickTop="1">
      <c r="B42" s="133" t="s">
        <v>111</v>
      </c>
      <c r="C42" s="119"/>
      <c r="D42" s="119"/>
      <c r="R42" s="147" t="s">
        <v>0</v>
      </c>
      <c r="S42" s="147" t="s">
        <v>9</v>
      </c>
      <c r="T42" s="156" t="s">
        <v>40</v>
      </c>
      <c r="U42" s="156"/>
      <c r="V42" s="156"/>
      <c r="W42" s="2"/>
      <c r="X42" s="2"/>
      <c r="Y42" s="2"/>
      <c r="Z42" s="2"/>
      <c r="AA42" s="2"/>
      <c r="AB42" s="2"/>
      <c r="AC42" s="2"/>
      <c r="AD42" s="2"/>
      <c r="AG42" s="37">
        <v>2000</v>
      </c>
      <c r="AH42" s="144">
        <v>1.3</v>
      </c>
      <c r="AI42" s="141">
        <v>1.09</v>
      </c>
      <c r="AJ42" s="141">
        <v>0.9</v>
      </c>
      <c r="AK42" s="141">
        <v>0.79</v>
      </c>
      <c r="AL42" s="142" t="s">
        <v>16</v>
      </c>
      <c r="AM42" s="34"/>
      <c r="AN42" s="37">
        <v>2000</v>
      </c>
      <c r="AO42" s="144">
        <v>2.03</v>
      </c>
      <c r="AP42" s="141">
        <v>1.7</v>
      </c>
      <c r="AQ42" s="141">
        <v>1.42</v>
      </c>
      <c r="AR42" s="141">
        <v>1.25</v>
      </c>
      <c r="AS42" s="142" t="s">
        <v>16</v>
      </c>
    </row>
    <row r="43" spans="2:45" ht="18.75">
      <c r="B43" s="132" t="s">
        <v>116</v>
      </c>
      <c r="C43" s="118"/>
      <c r="D43" s="118"/>
      <c r="R43" s="148"/>
      <c r="S43" s="148"/>
      <c r="T43" s="29">
        <v>3</v>
      </c>
      <c r="U43" s="30">
        <v>7</v>
      </c>
      <c r="V43" s="89">
        <v>15</v>
      </c>
      <c r="W43" s="2"/>
      <c r="X43" s="2"/>
      <c r="Y43" s="2"/>
      <c r="Z43" s="2"/>
      <c r="AA43" s="2"/>
      <c r="AB43" s="2"/>
      <c r="AC43" s="2"/>
      <c r="AD43" s="2"/>
      <c r="AG43" s="90">
        <v>5000</v>
      </c>
      <c r="AH43" s="143">
        <v>0.97</v>
      </c>
      <c r="AI43" s="136">
        <v>0.8</v>
      </c>
      <c r="AJ43" s="136">
        <v>0.66</v>
      </c>
      <c r="AK43" s="136">
        <v>0.58</v>
      </c>
      <c r="AL43" s="137" t="s">
        <v>16</v>
      </c>
      <c r="AM43" s="34"/>
      <c r="AN43" s="90">
        <v>5000</v>
      </c>
      <c r="AO43" s="143">
        <v>1.52</v>
      </c>
      <c r="AP43" s="136">
        <v>1.26</v>
      </c>
      <c r="AQ43" s="136">
        <v>1.04</v>
      </c>
      <c r="AR43" s="136">
        <v>0.91</v>
      </c>
      <c r="AS43" s="137" t="s">
        <v>16</v>
      </c>
    </row>
    <row r="44" spans="2:45" ht="18">
      <c r="B44" s="132" t="s">
        <v>112</v>
      </c>
      <c r="C44" s="118"/>
      <c r="D44" s="118"/>
      <c r="R44" s="5">
        <v>1</v>
      </c>
      <c r="S44" s="31" t="s">
        <v>3</v>
      </c>
      <c r="T44" s="143">
        <v>4.7</v>
      </c>
      <c r="U44" s="136">
        <v>4.2</v>
      </c>
      <c r="V44" s="137">
        <v>3.6</v>
      </c>
      <c r="W44" s="2"/>
      <c r="X44" s="2"/>
      <c r="Y44" s="2"/>
      <c r="Z44" s="2"/>
      <c r="AA44" s="2"/>
      <c r="AB44" s="2"/>
      <c r="AC44" s="2"/>
      <c r="AD44" s="2"/>
      <c r="AG44" s="47">
        <v>8000</v>
      </c>
      <c r="AH44" s="144">
        <v>0.79</v>
      </c>
      <c r="AI44" s="141">
        <v>0.65</v>
      </c>
      <c r="AJ44" s="141">
        <v>0.53</v>
      </c>
      <c r="AK44" s="141">
        <v>0.47</v>
      </c>
      <c r="AL44" s="142" t="s">
        <v>16</v>
      </c>
      <c r="AM44" s="34"/>
      <c r="AN44" s="47">
        <v>8000</v>
      </c>
      <c r="AO44" s="144">
        <v>1.21</v>
      </c>
      <c r="AP44" s="141">
        <v>1.02</v>
      </c>
      <c r="AQ44" s="141">
        <v>0.82</v>
      </c>
      <c r="AR44" s="141">
        <v>0.72</v>
      </c>
      <c r="AS44" s="142" t="s">
        <v>16</v>
      </c>
    </row>
    <row r="45" spans="2:45" ht="18">
      <c r="B45" s="132" t="s">
        <v>113</v>
      </c>
      <c r="C45" s="118"/>
      <c r="D45" s="118"/>
      <c r="R45" s="7">
        <v>2</v>
      </c>
      <c r="S45" s="25" t="s">
        <v>4</v>
      </c>
      <c r="T45" s="144">
        <v>4.8</v>
      </c>
      <c r="U45" s="141">
        <v>4.3</v>
      </c>
      <c r="V45" s="142">
        <v>3.8</v>
      </c>
      <c r="W45" s="2"/>
      <c r="X45" s="2"/>
      <c r="Y45" s="2"/>
      <c r="Z45" s="2"/>
      <c r="AA45" s="2"/>
      <c r="AB45" s="2"/>
      <c r="AC45" s="2"/>
      <c r="AD45" s="2"/>
      <c r="AG45" s="47">
        <v>10000</v>
      </c>
      <c r="AH45" s="143">
        <v>0.7</v>
      </c>
      <c r="AI45" s="136">
        <v>0.58</v>
      </c>
      <c r="AJ45" s="136">
        <v>0.48</v>
      </c>
      <c r="AK45" s="136">
        <v>0.42</v>
      </c>
      <c r="AL45" s="137" t="s">
        <v>16</v>
      </c>
      <c r="AM45" s="34"/>
      <c r="AN45" s="47">
        <v>10000</v>
      </c>
      <c r="AO45" s="143">
        <v>1.04</v>
      </c>
      <c r="AP45" s="136">
        <v>0.88</v>
      </c>
      <c r="AQ45" s="136">
        <v>0.72</v>
      </c>
      <c r="AR45" s="136">
        <v>0.64</v>
      </c>
      <c r="AS45" s="137" t="s">
        <v>16</v>
      </c>
    </row>
    <row r="46" spans="18:45" ht="18">
      <c r="R46" s="7">
        <v>3</v>
      </c>
      <c r="S46" s="25" t="s">
        <v>5</v>
      </c>
      <c r="T46" s="143">
        <v>3.6</v>
      </c>
      <c r="U46" s="136">
        <v>2.7</v>
      </c>
      <c r="V46" s="137">
        <v>2.5</v>
      </c>
      <c r="W46" s="2"/>
      <c r="X46" s="2"/>
      <c r="Y46" s="2"/>
      <c r="Z46" s="2"/>
      <c r="AA46" s="2"/>
      <c r="AB46" s="2"/>
      <c r="AC46" s="2"/>
      <c r="AD46" s="2"/>
      <c r="AG46" s="34"/>
      <c r="AH46" s="34"/>
      <c r="AI46" s="34"/>
      <c r="AJ46" s="34"/>
      <c r="AK46" s="34"/>
      <c r="AL46" s="34"/>
      <c r="AM46" s="2"/>
      <c r="AN46" s="34"/>
      <c r="AO46" s="34"/>
      <c r="AP46" s="34"/>
      <c r="AQ46" s="34"/>
      <c r="AR46" s="34"/>
      <c r="AS46" s="34"/>
    </row>
    <row r="47" spans="18:45" ht="18" hidden="1">
      <c r="R47" s="9">
        <v>4</v>
      </c>
      <c r="S47" s="25" t="s">
        <v>6</v>
      </c>
      <c r="T47" s="144">
        <v>4.4</v>
      </c>
      <c r="U47" s="141">
        <v>3.9</v>
      </c>
      <c r="V47" s="142">
        <v>3.6</v>
      </c>
      <c r="W47" s="2"/>
      <c r="X47" s="2"/>
      <c r="Y47" s="2"/>
      <c r="Z47" s="2"/>
      <c r="AA47" s="2"/>
      <c r="AB47" s="2"/>
      <c r="AC47" s="2"/>
      <c r="AD47" s="2"/>
      <c r="AG47" s="2"/>
      <c r="AH47" s="13" t="s">
        <v>61</v>
      </c>
      <c r="AI47" s="48">
        <f>'Chi phi Du an- NHAVIET'!$C$7</f>
        <v>3</v>
      </c>
      <c r="AJ47" s="15"/>
      <c r="AK47" s="15"/>
      <c r="AL47" s="15"/>
      <c r="AM47" s="2"/>
      <c r="AN47" s="2"/>
      <c r="AO47" s="13" t="s">
        <v>61</v>
      </c>
      <c r="AP47" s="48">
        <f>'Chi phi Du an- NHAVIET'!$C$7</f>
        <v>3</v>
      </c>
      <c r="AQ47" s="15"/>
      <c r="AR47" s="15"/>
      <c r="AS47" s="15"/>
    </row>
    <row r="48" spans="18:45" ht="18" hidden="1">
      <c r="R48" s="10">
        <v>5</v>
      </c>
      <c r="S48" s="26" t="s">
        <v>7</v>
      </c>
      <c r="T48" s="143">
        <v>4.2</v>
      </c>
      <c r="U48" s="136">
        <v>3.4</v>
      </c>
      <c r="V48" s="137">
        <v>3</v>
      </c>
      <c r="W48" s="2"/>
      <c r="X48" s="2"/>
      <c r="Y48" s="2"/>
      <c r="Z48" s="2"/>
      <c r="AA48" s="2"/>
      <c r="AB48" s="2"/>
      <c r="AC48" s="2"/>
      <c r="AD48" s="2"/>
      <c r="AG48" s="2"/>
      <c r="AH48" s="13" t="s">
        <v>43</v>
      </c>
      <c r="AI48" s="16">
        <f>'Chi phi Du an- NHAVIET'!$C$9/1000000000</f>
        <v>91.698048</v>
      </c>
      <c r="AJ48" s="15"/>
      <c r="AK48" s="15"/>
      <c r="AL48" s="15"/>
      <c r="AM48" s="2"/>
      <c r="AN48" s="2"/>
      <c r="AO48" s="13" t="s">
        <v>43</v>
      </c>
      <c r="AP48" s="16">
        <f>'Chi phi Du an- NHAVIET'!$C$9/1000000000</f>
        <v>91.698048</v>
      </c>
      <c r="AQ48" s="15"/>
      <c r="AR48" s="15"/>
      <c r="AS48" s="15"/>
    </row>
    <row r="49" spans="18:45" ht="16.5" hidden="1"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G49" s="2"/>
      <c r="AH49" s="13" t="s">
        <v>45</v>
      </c>
      <c r="AI49" s="17">
        <f>IF(AI48=0,0,IF(AI51=AJ51,AI52,(AJ52-AI52)/(AJ51-AI51)*(AI48-AI51)+AI52))</f>
        <v>1.4815850752</v>
      </c>
      <c r="AJ49" s="15"/>
      <c r="AK49" s="15"/>
      <c r="AL49" s="15"/>
      <c r="AM49" s="2"/>
      <c r="AN49" s="2"/>
      <c r="AO49" s="13" t="s">
        <v>45</v>
      </c>
      <c r="AP49" s="17">
        <f>IF(AP48=0,0,IF(AP51=AQ51,AP52,(AQ52-AP52)/(AQ51-AP51)*(AP48-AP51)+AP52))</f>
        <v>2.2715474176000003</v>
      </c>
      <c r="AQ49" s="15"/>
      <c r="AR49" s="15"/>
      <c r="AS49" s="15"/>
    </row>
    <row r="50" spans="18:45" ht="16.5" hidden="1">
      <c r="R50" s="2"/>
      <c r="S50" s="13" t="s">
        <v>41</v>
      </c>
      <c r="T50" s="14">
        <f>'Chi phi Du an- NHAVIET'!$C$5</f>
        <v>4</v>
      </c>
      <c r="U50" s="15"/>
      <c r="V50" s="2"/>
      <c r="W50" s="2"/>
      <c r="X50" s="2"/>
      <c r="Y50" s="2"/>
      <c r="Z50" s="2"/>
      <c r="AA50" s="2"/>
      <c r="AB50" s="2"/>
      <c r="AC50" s="2"/>
      <c r="AD50" s="2"/>
      <c r="AG50" s="2"/>
      <c r="AH50" s="18"/>
      <c r="AI50" s="18">
        <f>IF(AI48&lt;AG35,1,MATCH(AI48,AG35:AG45,1))</f>
        <v>3</v>
      </c>
      <c r="AJ50" s="15">
        <f>IF(OR(AI48&lt;AG35,AI48&gt;AG45),AI50,AI50+1)</f>
        <v>4</v>
      </c>
      <c r="AK50" s="15"/>
      <c r="AL50" s="15"/>
      <c r="AM50" s="2"/>
      <c r="AN50" s="2"/>
      <c r="AO50" s="18"/>
      <c r="AP50" s="18">
        <f>IF(AP48&lt;AN35,1,MATCH(AP48,AN35:AN45,1))</f>
        <v>3</v>
      </c>
      <c r="AQ50" s="15">
        <f>IF(OR(AP48&lt;AN35,AP48&gt;AN45),AP50,AP50+1)</f>
        <v>4</v>
      </c>
      <c r="AR50" s="18"/>
      <c r="AS50" s="15"/>
    </row>
    <row r="51" spans="18:45" ht="16.5" hidden="1">
      <c r="R51" s="2"/>
      <c r="S51" s="13" t="s">
        <v>42</v>
      </c>
      <c r="T51" s="16">
        <f>SUM('Chi phi Du an- NHAVIET'!$C$9:$C$10)/1000000000</f>
        <v>91.698048</v>
      </c>
      <c r="U51" s="15"/>
      <c r="V51" s="2"/>
      <c r="W51" s="2"/>
      <c r="X51" s="2"/>
      <c r="Y51" s="2"/>
      <c r="Z51" s="2"/>
      <c r="AA51" s="2"/>
      <c r="AB51" s="2"/>
      <c r="AC51" s="2"/>
      <c r="AD51" s="2"/>
      <c r="AG51" s="2"/>
      <c r="AH51" s="18"/>
      <c r="AI51" s="18">
        <f ca="1">OFFSET(AG35,AI50-1,0)</f>
        <v>50</v>
      </c>
      <c r="AJ51" s="18">
        <f ca="1">OFFSET(AG35,AJ50-1,0)</f>
        <v>100</v>
      </c>
      <c r="AK51" s="18"/>
      <c r="AL51" s="18"/>
      <c r="AM51" s="2"/>
      <c r="AN51" s="2"/>
      <c r="AO51" s="18"/>
      <c r="AP51" s="18">
        <f ca="1">OFFSET(AN35,AP50-1,0)</f>
        <v>50</v>
      </c>
      <c r="AQ51" s="18">
        <f ca="1">OFFSET(AN35,AQ50-1,0)</f>
        <v>100</v>
      </c>
      <c r="AR51" s="18"/>
      <c r="AS51" s="15"/>
    </row>
    <row r="52" spans="18:45" ht="16.5" hidden="1">
      <c r="R52" s="2"/>
      <c r="S52" s="13" t="s">
        <v>45</v>
      </c>
      <c r="T52" s="17">
        <f>IF(T51=0,0,IF(T54=U54,T55,(U55-T55)/(U54-T54)*(T51-T54)+T55))</f>
        <v>3.6</v>
      </c>
      <c r="U52" s="15"/>
      <c r="V52" s="2"/>
      <c r="W52" s="2"/>
      <c r="X52" s="2"/>
      <c r="Y52" s="2"/>
      <c r="Z52" s="2"/>
      <c r="AA52" s="2"/>
      <c r="AB52" s="2"/>
      <c r="AC52" s="2"/>
      <c r="AD52" s="2"/>
      <c r="AG52" s="2"/>
      <c r="AH52" s="18"/>
      <c r="AI52" s="19">
        <f ca="1">OFFSET(AG35,AI50-1,AI47)</f>
        <v>1.59</v>
      </c>
      <c r="AJ52" s="19">
        <f ca="1">OFFSET(AG35,AJ50-1,AI47)</f>
        <v>1.46</v>
      </c>
      <c r="AK52" s="19"/>
      <c r="AL52" s="19"/>
      <c r="AM52" s="34"/>
      <c r="AN52" s="2"/>
      <c r="AO52" s="18"/>
      <c r="AP52" s="19">
        <f ca="1">OFFSET(AN35,AP50-1,AP47)</f>
        <v>2.43</v>
      </c>
      <c r="AQ52" s="19">
        <f ca="1">OFFSET(AN35,AQ50-1,AP47)</f>
        <v>2.24</v>
      </c>
      <c r="AR52" s="19"/>
      <c r="AS52" s="15"/>
    </row>
    <row r="53" spans="18:45" ht="16.5" hidden="1">
      <c r="R53" s="2"/>
      <c r="S53" s="18"/>
      <c r="T53" s="18">
        <f>IF(T51&lt;T43,1,MATCH(T51,T43:V43,1))</f>
        <v>3</v>
      </c>
      <c r="U53" s="15">
        <f>IF(OR(T51&lt;T43,T51&gt;V43),T53,T53+1)</f>
        <v>3</v>
      </c>
      <c r="V53" s="2"/>
      <c r="W53" s="2"/>
      <c r="X53" s="2"/>
      <c r="Y53" s="2"/>
      <c r="Z53" s="2"/>
      <c r="AA53" s="2"/>
      <c r="AB53" s="2"/>
      <c r="AC53" s="2"/>
      <c r="AD53" s="2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15"/>
    </row>
    <row r="54" spans="18:45" ht="18.75" hidden="1">
      <c r="R54" s="2"/>
      <c r="S54" s="18"/>
      <c r="T54" s="18">
        <f ca="1">OFFSET(T43,0,T53-1)</f>
        <v>15</v>
      </c>
      <c r="U54" s="18">
        <f ca="1">OFFSET(T43,0,U53-1)</f>
        <v>15</v>
      </c>
      <c r="V54" s="2"/>
      <c r="W54" s="2"/>
      <c r="X54" s="2"/>
      <c r="Y54" s="2"/>
      <c r="Z54" s="2"/>
      <c r="AA54" s="2"/>
      <c r="AB54" s="2"/>
      <c r="AC54" s="2"/>
      <c r="AD54" s="2"/>
      <c r="AG54" s="33" t="s">
        <v>32</v>
      </c>
      <c r="AH54" s="34"/>
      <c r="AI54" s="34"/>
      <c r="AJ54" s="34"/>
      <c r="AK54" s="34"/>
      <c r="AL54" s="34"/>
      <c r="AM54" s="34"/>
      <c r="AN54" s="33" t="s">
        <v>29</v>
      </c>
      <c r="AO54" s="34"/>
      <c r="AP54" s="34"/>
      <c r="AQ54" s="34"/>
      <c r="AR54" s="34"/>
      <c r="AS54" s="34"/>
    </row>
    <row r="55" spans="18:45" ht="16.5" hidden="1">
      <c r="R55" s="2"/>
      <c r="S55" s="18"/>
      <c r="T55" s="19">
        <f ca="1">OFFSET(T43,T50,T53-1)</f>
        <v>3.6</v>
      </c>
      <c r="U55" s="19">
        <f ca="1">OFFSET(T43,T50,U53-1)</f>
        <v>3.6</v>
      </c>
      <c r="V55" s="2"/>
      <c r="W55" s="2"/>
      <c r="X55" s="2"/>
      <c r="Y55" s="2"/>
      <c r="Z55" s="2"/>
      <c r="AA55" s="2"/>
      <c r="AB55" s="2"/>
      <c r="AC55" s="2"/>
      <c r="AD55" s="2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</row>
    <row r="56" spans="33:45" ht="16.5" hidden="1">
      <c r="AG56" s="35"/>
      <c r="AH56" s="155" t="s">
        <v>8</v>
      </c>
      <c r="AI56" s="155"/>
      <c r="AJ56" s="155"/>
      <c r="AK56" s="86"/>
      <c r="AL56" s="86"/>
      <c r="AM56" s="34"/>
      <c r="AN56" s="35"/>
      <c r="AO56" s="155" t="s">
        <v>8</v>
      </c>
      <c r="AP56" s="155"/>
      <c r="AQ56" s="155"/>
      <c r="AR56" s="155"/>
      <c r="AS56" s="155"/>
    </row>
    <row r="57" spans="33:45" ht="18.75" hidden="1">
      <c r="AG57" s="147" t="s">
        <v>10</v>
      </c>
      <c r="AH57" s="152" t="s">
        <v>12</v>
      </c>
      <c r="AI57" s="153"/>
      <c r="AJ57" s="153"/>
      <c r="AK57" s="153"/>
      <c r="AL57" s="154"/>
      <c r="AM57" s="34"/>
      <c r="AN57" s="147" t="s">
        <v>10</v>
      </c>
      <c r="AO57" s="152" t="s">
        <v>12</v>
      </c>
      <c r="AP57" s="153"/>
      <c r="AQ57" s="153"/>
      <c r="AR57" s="153"/>
      <c r="AS57" s="154"/>
    </row>
    <row r="58" spans="18:45" ht="18.75" hidden="1">
      <c r="R58" s="64" t="s">
        <v>97</v>
      </c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G58" s="148" t="s">
        <v>11</v>
      </c>
      <c r="AH58" s="36" t="s">
        <v>13</v>
      </c>
      <c r="AI58" s="36" t="s">
        <v>14</v>
      </c>
      <c r="AJ58" s="36" t="s">
        <v>15</v>
      </c>
      <c r="AK58" s="36" t="s">
        <v>17</v>
      </c>
      <c r="AL58" s="36" t="s">
        <v>18</v>
      </c>
      <c r="AM58" s="34"/>
      <c r="AN58" s="148" t="s">
        <v>11</v>
      </c>
      <c r="AO58" s="36" t="s">
        <v>13</v>
      </c>
      <c r="AP58" s="36" t="s">
        <v>14</v>
      </c>
      <c r="AQ58" s="36" t="s">
        <v>15</v>
      </c>
      <c r="AR58" s="36" t="s">
        <v>17</v>
      </c>
      <c r="AS58" s="36" t="s">
        <v>18</v>
      </c>
    </row>
    <row r="59" spans="18:45" ht="18.75" hidden="1"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G59" s="20"/>
      <c r="AH59" s="36">
        <v>1</v>
      </c>
      <c r="AI59" s="36">
        <v>2</v>
      </c>
      <c r="AJ59" s="36">
        <v>3</v>
      </c>
      <c r="AK59" s="36">
        <v>4</v>
      </c>
      <c r="AL59" s="36">
        <v>5</v>
      </c>
      <c r="AM59" s="34"/>
      <c r="AN59" s="20"/>
      <c r="AO59" s="36">
        <v>1</v>
      </c>
      <c r="AP59" s="36">
        <v>2</v>
      </c>
      <c r="AQ59" s="36">
        <v>3</v>
      </c>
      <c r="AR59" s="36">
        <v>4</v>
      </c>
      <c r="AS59" s="36">
        <v>5</v>
      </c>
    </row>
    <row r="60" spans="18:45" ht="18" hidden="1">
      <c r="R60" s="69"/>
      <c r="S60" s="69"/>
      <c r="T60" s="70">
        <v>0.5</v>
      </c>
      <c r="U60" s="71">
        <v>1</v>
      </c>
      <c r="V60" s="71">
        <v>5</v>
      </c>
      <c r="W60" s="71">
        <v>15</v>
      </c>
      <c r="X60" s="71">
        <v>25</v>
      </c>
      <c r="Y60" s="71">
        <v>50</v>
      </c>
      <c r="Z60" s="71">
        <v>100</v>
      </c>
      <c r="AA60" s="71">
        <v>200</v>
      </c>
      <c r="AB60" s="71">
        <v>500</v>
      </c>
      <c r="AC60" s="71">
        <v>1000</v>
      </c>
      <c r="AD60" s="71">
        <v>2000</v>
      </c>
      <c r="AG60" s="46">
        <v>10</v>
      </c>
      <c r="AH60" s="143">
        <v>2.05</v>
      </c>
      <c r="AI60" s="136">
        <v>1.44</v>
      </c>
      <c r="AJ60" s="136">
        <v>1.19</v>
      </c>
      <c r="AK60" s="136">
        <v>1.05</v>
      </c>
      <c r="AL60" s="137">
        <v>0.95</v>
      </c>
      <c r="AM60" s="34"/>
      <c r="AN60" s="46">
        <v>10</v>
      </c>
      <c r="AO60" s="143">
        <v>3.01</v>
      </c>
      <c r="AP60" s="136">
        <v>2.27</v>
      </c>
      <c r="AQ60" s="136">
        <v>1.67</v>
      </c>
      <c r="AR60" s="136">
        <v>1.48</v>
      </c>
      <c r="AS60" s="137">
        <v>1.37</v>
      </c>
    </row>
    <row r="61" spans="18:45" ht="17.25" hidden="1">
      <c r="R61" s="69"/>
      <c r="S61" s="69" t="s">
        <v>102</v>
      </c>
      <c r="T61" s="72"/>
      <c r="U61" s="72">
        <v>0.025</v>
      </c>
      <c r="V61" s="72">
        <v>0.023</v>
      </c>
      <c r="W61" s="72">
        <v>0.019</v>
      </c>
      <c r="X61" s="72">
        <v>0.017</v>
      </c>
      <c r="Y61" s="72">
        <v>0.015</v>
      </c>
      <c r="Z61" s="72">
        <v>0.0125</v>
      </c>
      <c r="AA61" s="72">
        <v>0.01</v>
      </c>
      <c r="AB61" s="72">
        <v>0.0075</v>
      </c>
      <c r="AC61" s="72">
        <v>0.0047</v>
      </c>
      <c r="AD61" s="72">
        <v>0.0025</v>
      </c>
      <c r="AG61" s="38">
        <v>20</v>
      </c>
      <c r="AH61" s="144">
        <v>1.92</v>
      </c>
      <c r="AI61" s="141">
        <v>1.39</v>
      </c>
      <c r="AJ61" s="141">
        <v>1.08</v>
      </c>
      <c r="AK61" s="141">
        <v>0.93</v>
      </c>
      <c r="AL61" s="142">
        <v>0.87</v>
      </c>
      <c r="AM61" s="34"/>
      <c r="AN61" s="38">
        <v>20</v>
      </c>
      <c r="AO61" s="144">
        <v>2.76</v>
      </c>
      <c r="AP61" s="141">
        <v>2.15</v>
      </c>
      <c r="AQ61" s="141">
        <v>1.55</v>
      </c>
      <c r="AR61" s="141">
        <v>1.37</v>
      </c>
      <c r="AS61" s="142">
        <v>1.26</v>
      </c>
    </row>
    <row r="62" spans="18:45" ht="17.25" hidden="1"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G62" s="38">
        <v>50</v>
      </c>
      <c r="AH62" s="143">
        <v>1.68</v>
      </c>
      <c r="AI62" s="136">
        <v>1.13</v>
      </c>
      <c r="AJ62" s="136">
        <v>0.92</v>
      </c>
      <c r="AK62" s="136">
        <v>0.81</v>
      </c>
      <c r="AL62" s="137">
        <v>0.76</v>
      </c>
      <c r="AM62" s="34"/>
      <c r="AN62" s="38">
        <v>50</v>
      </c>
      <c r="AO62" s="143">
        <v>2.36</v>
      </c>
      <c r="AP62" s="136">
        <v>1.83</v>
      </c>
      <c r="AQ62" s="136">
        <v>1.32</v>
      </c>
      <c r="AR62" s="136">
        <v>1.17</v>
      </c>
      <c r="AS62" s="137">
        <v>1.08</v>
      </c>
    </row>
    <row r="63" spans="18:45" ht="17.25" hidden="1"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G63" s="38">
        <v>100</v>
      </c>
      <c r="AH63" s="144">
        <v>1.5</v>
      </c>
      <c r="AI63" s="141">
        <v>1.05</v>
      </c>
      <c r="AJ63" s="141">
        <v>0.84</v>
      </c>
      <c r="AK63" s="141">
        <v>0.74</v>
      </c>
      <c r="AL63" s="142">
        <v>0.69</v>
      </c>
      <c r="AM63" s="34"/>
      <c r="AN63" s="38">
        <v>100</v>
      </c>
      <c r="AO63" s="144">
        <v>2.15</v>
      </c>
      <c r="AP63" s="141">
        <v>1.67</v>
      </c>
      <c r="AQ63" s="141">
        <v>1.2</v>
      </c>
      <c r="AR63" s="141">
        <v>1.06</v>
      </c>
      <c r="AS63" s="142">
        <v>0.98</v>
      </c>
    </row>
    <row r="64" spans="18:45" ht="17.25" hidden="1">
      <c r="R64" s="65"/>
      <c r="S64" s="13" t="s">
        <v>41</v>
      </c>
      <c r="T64" s="14">
        <f>'Chi phi Du an- NHAVIET'!$C$5</f>
        <v>4</v>
      </c>
      <c r="U64" s="66"/>
      <c r="V64" s="65"/>
      <c r="W64" s="65"/>
      <c r="X64" s="65"/>
      <c r="Y64" s="65"/>
      <c r="Z64" s="65"/>
      <c r="AA64" s="65"/>
      <c r="AB64" s="65"/>
      <c r="AC64" s="65"/>
      <c r="AD64" s="65"/>
      <c r="AG64" s="38">
        <v>200</v>
      </c>
      <c r="AH64" s="143">
        <v>1.36</v>
      </c>
      <c r="AI64" s="136">
        <v>0.95</v>
      </c>
      <c r="AJ64" s="136">
        <v>0.77</v>
      </c>
      <c r="AK64" s="136">
        <v>0.68</v>
      </c>
      <c r="AL64" s="137">
        <v>0.59</v>
      </c>
      <c r="AM64" s="34"/>
      <c r="AN64" s="38">
        <v>200</v>
      </c>
      <c r="AO64" s="143">
        <v>1.95</v>
      </c>
      <c r="AP64" s="136">
        <v>1.51</v>
      </c>
      <c r="AQ64" s="136">
        <v>1.1</v>
      </c>
      <c r="AR64" s="136">
        <v>0.97</v>
      </c>
      <c r="AS64" s="137">
        <v>0.83</v>
      </c>
    </row>
    <row r="65" spans="18:45" ht="17.25" hidden="1">
      <c r="R65" s="65"/>
      <c r="S65" s="13" t="s">
        <v>42</v>
      </c>
      <c r="T65" s="16">
        <f>SUM('Chi phi Du an- NHAVIET'!$C$9:$C$10)/1000000000</f>
        <v>91.698048</v>
      </c>
      <c r="U65" s="66"/>
      <c r="V65" s="65"/>
      <c r="W65" s="65"/>
      <c r="X65" s="65"/>
      <c r="Y65" s="65"/>
      <c r="Z65" s="65"/>
      <c r="AA65" s="65"/>
      <c r="AB65" s="65"/>
      <c r="AC65" s="65"/>
      <c r="AD65" s="65"/>
      <c r="AG65" s="38">
        <v>500</v>
      </c>
      <c r="AH65" s="144">
        <v>1.24</v>
      </c>
      <c r="AI65" s="141">
        <v>0.81</v>
      </c>
      <c r="AJ65" s="141">
        <v>0.7</v>
      </c>
      <c r="AK65" s="141">
        <v>0.58</v>
      </c>
      <c r="AL65" s="142">
        <v>0.49</v>
      </c>
      <c r="AM65" s="34"/>
      <c r="AN65" s="38">
        <v>500</v>
      </c>
      <c r="AO65" s="144">
        <v>1.78</v>
      </c>
      <c r="AP65" s="141">
        <v>1.38</v>
      </c>
      <c r="AQ65" s="141">
        <v>1.01</v>
      </c>
      <c r="AR65" s="141">
        <v>0.82</v>
      </c>
      <c r="AS65" s="142">
        <v>0.71</v>
      </c>
    </row>
    <row r="66" spans="18:45" ht="17.25" hidden="1">
      <c r="R66" s="65"/>
      <c r="S66" s="13" t="s">
        <v>45</v>
      </c>
      <c r="T66" s="17">
        <f>IF(T65=0,0,IF(T68=U68,T69,(U69-T69)/(U68-T68)*(T65-T68)+T69))</f>
        <v>0.012915097600000001</v>
      </c>
      <c r="U66" s="66"/>
      <c r="V66" s="65"/>
      <c r="W66" s="65"/>
      <c r="X66" s="65"/>
      <c r="Y66" s="65"/>
      <c r="Z66" s="65"/>
      <c r="AA66" s="65"/>
      <c r="AB66" s="65"/>
      <c r="AC66" s="65"/>
      <c r="AD66" s="65"/>
      <c r="AG66" s="37">
        <v>1000</v>
      </c>
      <c r="AH66" s="143">
        <v>1.08</v>
      </c>
      <c r="AI66" s="136">
        <v>0.68</v>
      </c>
      <c r="AJ66" s="136">
        <v>0.6</v>
      </c>
      <c r="AK66" s="136">
        <v>0.48</v>
      </c>
      <c r="AL66" s="137">
        <v>0.43</v>
      </c>
      <c r="AM66" s="34"/>
      <c r="AN66" s="37">
        <v>1000</v>
      </c>
      <c r="AO66" s="143">
        <v>1.52</v>
      </c>
      <c r="AP66" s="136">
        <v>1.21</v>
      </c>
      <c r="AQ66" s="136">
        <v>0.85</v>
      </c>
      <c r="AR66" s="136">
        <v>0.7</v>
      </c>
      <c r="AS66" s="137"/>
    </row>
    <row r="67" spans="18:45" ht="17.25" hidden="1">
      <c r="R67" s="65"/>
      <c r="S67" s="67"/>
      <c r="T67" s="67">
        <f>IF(T65&lt;T60,1,MATCH(T65,T60:AD60,1))</f>
        <v>6</v>
      </c>
      <c r="U67" s="66">
        <f>IF(OR(T65&lt;T60,T65&gt;AD60),T67,T67+1)</f>
        <v>7</v>
      </c>
      <c r="V67" s="65"/>
      <c r="W67" s="65"/>
      <c r="X67" s="65"/>
      <c r="Y67" s="65"/>
      <c r="Z67" s="65"/>
      <c r="AA67" s="65"/>
      <c r="AB67" s="65"/>
      <c r="AC67" s="65"/>
      <c r="AD67" s="65"/>
      <c r="AG67" s="37">
        <v>2000</v>
      </c>
      <c r="AH67" s="144">
        <v>0.92</v>
      </c>
      <c r="AI67" s="141">
        <v>0.58</v>
      </c>
      <c r="AJ67" s="141">
        <v>0.51</v>
      </c>
      <c r="AK67" s="141">
        <v>0.43</v>
      </c>
      <c r="AL67" s="142" t="s">
        <v>16</v>
      </c>
      <c r="AM67" s="34"/>
      <c r="AN67" s="37">
        <v>2000</v>
      </c>
      <c r="AO67" s="144">
        <v>1.32</v>
      </c>
      <c r="AP67" s="141">
        <v>1.03</v>
      </c>
      <c r="AQ67" s="141">
        <v>0.72</v>
      </c>
      <c r="AR67" s="141">
        <v>0.59</v>
      </c>
      <c r="AS67" s="142"/>
    </row>
    <row r="68" spans="18:45" ht="17.25" hidden="1">
      <c r="R68" s="65"/>
      <c r="S68" s="67"/>
      <c r="T68" s="67">
        <f ca="1">OFFSET(T60,0,T67-1)</f>
        <v>50</v>
      </c>
      <c r="U68" s="67">
        <f ca="1">OFFSET(T60,0,U67-1)</f>
        <v>100</v>
      </c>
      <c r="V68" s="65"/>
      <c r="W68" s="65"/>
      <c r="X68" s="65"/>
      <c r="Y68" s="65"/>
      <c r="Z68" s="65"/>
      <c r="AA68" s="65"/>
      <c r="AB68" s="65"/>
      <c r="AC68" s="65"/>
      <c r="AD68" s="65"/>
      <c r="AG68" s="90">
        <v>5000</v>
      </c>
      <c r="AH68" s="143">
        <v>0.68</v>
      </c>
      <c r="AI68" s="136">
        <v>0.44</v>
      </c>
      <c r="AJ68" s="136">
        <v>0.39</v>
      </c>
      <c r="AK68" s="136">
        <v>0.32</v>
      </c>
      <c r="AL68" s="137" t="s">
        <v>16</v>
      </c>
      <c r="AM68" s="34"/>
      <c r="AN68" s="90">
        <v>5000</v>
      </c>
      <c r="AO68" s="143">
        <v>1.02</v>
      </c>
      <c r="AP68" s="136">
        <v>0.79</v>
      </c>
      <c r="AQ68" s="136">
        <v>0.56</v>
      </c>
      <c r="AR68" s="136">
        <v>0.45</v>
      </c>
      <c r="AS68" s="137" t="s">
        <v>16</v>
      </c>
    </row>
    <row r="69" spans="18:45" ht="17.25" hidden="1">
      <c r="R69" s="65"/>
      <c r="S69" s="67"/>
      <c r="T69" s="68">
        <f ca="1">OFFSET(T60,1,T67-1)</f>
        <v>0.015</v>
      </c>
      <c r="U69" s="68">
        <f ca="1">OFFSET(T60,1,U67-1)</f>
        <v>0.0125</v>
      </c>
      <c r="V69" s="65"/>
      <c r="W69" s="65"/>
      <c r="X69" s="65"/>
      <c r="Y69" s="65"/>
      <c r="Z69" s="65"/>
      <c r="AA69" s="65"/>
      <c r="AB69" s="65"/>
      <c r="AC69" s="65"/>
      <c r="AD69" s="65"/>
      <c r="AG69" s="47">
        <v>8000</v>
      </c>
      <c r="AH69" s="144">
        <v>0.51</v>
      </c>
      <c r="AI69" s="141">
        <v>0.34</v>
      </c>
      <c r="AJ69" s="141">
        <v>0.29</v>
      </c>
      <c r="AK69" s="141">
        <v>0.25</v>
      </c>
      <c r="AL69" s="142" t="s">
        <v>16</v>
      </c>
      <c r="AM69" s="34"/>
      <c r="AN69" s="47">
        <v>8000</v>
      </c>
      <c r="AO69" s="144">
        <v>0.75</v>
      </c>
      <c r="AP69" s="141">
        <v>0.61</v>
      </c>
      <c r="AQ69" s="141">
        <v>0.42</v>
      </c>
      <c r="AR69" s="141">
        <v>0.33</v>
      </c>
      <c r="AS69" s="142"/>
    </row>
    <row r="70" spans="33:45" ht="17.25" hidden="1">
      <c r="AG70" s="47">
        <v>10000</v>
      </c>
      <c r="AH70" s="143">
        <v>0.45</v>
      </c>
      <c r="AI70" s="136">
        <v>0.28</v>
      </c>
      <c r="AJ70" s="136">
        <v>0.25</v>
      </c>
      <c r="AK70" s="136">
        <v>0.21</v>
      </c>
      <c r="AL70" s="137" t="s">
        <v>16</v>
      </c>
      <c r="AM70" s="2"/>
      <c r="AN70" s="47">
        <v>10000</v>
      </c>
      <c r="AO70" s="143">
        <v>0.66</v>
      </c>
      <c r="AP70" s="136">
        <v>0.49</v>
      </c>
      <c r="AQ70" s="136">
        <v>0.36</v>
      </c>
      <c r="AR70" s="136">
        <v>0.29</v>
      </c>
      <c r="AS70" s="137" t="s">
        <v>16</v>
      </c>
    </row>
    <row r="71" spans="18:45" ht="18.75" hidden="1">
      <c r="R71" s="64" t="s">
        <v>98</v>
      </c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G71" s="34"/>
      <c r="AH71" s="34"/>
      <c r="AI71" s="34"/>
      <c r="AJ71" s="34"/>
      <c r="AK71" s="34"/>
      <c r="AL71" s="34"/>
      <c r="AM71" s="2"/>
      <c r="AN71" s="34"/>
      <c r="AO71" s="34"/>
      <c r="AP71" s="34"/>
      <c r="AQ71" s="34"/>
      <c r="AR71" s="34"/>
      <c r="AS71" s="34"/>
    </row>
    <row r="72" spans="18:45" ht="16.5" hidden="1">
      <c r="R72" s="69"/>
      <c r="S72" s="69"/>
      <c r="T72" s="70">
        <v>0.5</v>
      </c>
      <c r="U72" s="71">
        <v>1</v>
      </c>
      <c r="V72" s="71">
        <v>5</v>
      </c>
      <c r="W72" s="71">
        <v>15</v>
      </c>
      <c r="X72" s="71">
        <v>25</v>
      </c>
      <c r="Y72" s="71">
        <v>50</v>
      </c>
      <c r="Z72" s="71">
        <v>100</v>
      </c>
      <c r="AA72" s="71">
        <v>200</v>
      </c>
      <c r="AB72" s="71">
        <v>500</v>
      </c>
      <c r="AC72" s="71">
        <v>1000</v>
      </c>
      <c r="AD72" s="71">
        <v>2000</v>
      </c>
      <c r="AG72" s="2"/>
      <c r="AH72" s="13" t="s">
        <v>61</v>
      </c>
      <c r="AI72" s="48">
        <f>'Chi phi Du an- NHAVIET'!$C$7</f>
        <v>3</v>
      </c>
      <c r="AJ72" s="15"/>
      <c r="AK72" s="15"/>
      <c r="AL72" s="15"/>
      <c r="AM72" s="2"/>
      <c r="AN72" s="2"/>
      <c r="AO72" s="13" t="s">
        <v>61</v>
      </c>
      <c r="AP72" s="48">
        <f>'Chi phi Du an- NHAVIET'!$C$7</f>
        <v>3</v>
      </c>
      <c r="AQ72" s="15"/>
      <c r="AR72" s="15"/>
      <c r="AS72" s="15"/>
    </row>
    <row r="73" spans="18:45" ht="16.5" hidden="1">
      <c r="R73" s="69">
        <v>1</v>
      </c>
      <c r="S73" s="73" t="s">
        <v>46</v>
      </c>
      <c r="T73" s="72">
        <v>0.096</v>
      </c>
      <c r="U73" s="72">
        <v>0.072</v>
      </c>
      <c r="V73" s="72">
        <v>0.0675</v>
      </c>
      <c r="W73" s="72">
        <v>0.0585</v>
      </c>
      <c r="X73" s="72">
        <v>0.0382</v>
      </c>
      <c r="Y73" s="72">
        <v>0.0306</v>
      </c>
      <c r="Z73" s="72">
        <v>0.027</v>
      </c>
      <c r="AA73" s="72">
        <v>0.0193</v>
      </c>
      <c r="AB73" s="72">
        <v>0.0112</v>
      </c>
      <c r="AC73" s="72">
        <v>0.0099</v>
      </c>
      <c r="AD73" s="72">
        <v>0.0055</v>
      </c>
      <c r="AG73" s="2"/>
      <c r="AH73" s="13" t="s">
        <v>43</v>
      </c>
      <c r="AI73" s="16">
        <f>'Chi phi Du an- NHAVIET'!$C$9/1000000000</f>
        <v>91.698048</v>
      </c>
      <c r="AJ73" s="15"/>
      <c r="AK73" s="15"/>
      <c r="AL73" s="15"/>
      <c r="AM73" s="2"/>
      <c r="AN73" s="2"/>
      <c r="AO73" s="13" t="s">
        <v>43</v>
      </c>
      <c r="AP73" s="16">
        <f>'Chi phi Du an- NHAVIET'!$C$9/1000000000</f>
        <v>91.698048</v>
      </c>
      <c r="AQ73" s="15"/>
      <c r="AR73" s="15"/>
      <c r="AS73" s="15"/>
    </row>
    <row r="74" spans="18:45" ht="16.5" hidden="1">
      <c r="R74" s="69">
        <v>2</v>
      </c>
      <c r="S74" s="73" t="s">
        <v>47</v>
      </c>
      <c r="T74" s="72">
        <v>0.1026</v>
      </c>
      <c r="U74" s="72">
        <v>0.0855</v>
      </c>
      <c r="V74" s="72">
        <v>0.0765</v>
      </c>
      <c r="W74" s="72">
        <v>0.0675</v>
      </c>
      <c r="X74" s="72">
        <v>0.045</v>
      </c>
      <c r="Y74" s="72">
        <v>0.036</v>
      </c>
      <c r="Z74" s="72">
        <v>0.0315</v>
      </c>
      <c r="AA74" s="72">
        <v>0.0225</v>
      </c>
      <c r="AB74" s="72">
        <v>0.0157</v>
      </c>
      <c r="AC74" s="72">
        <v>0.0112</v>
      </c>
      <c r="AD74" s="72">
        <v>0.0056</v>
      </c>
      <c r="AG74" s="2"/>
      <c r="AH74" s="13" t="s">
        <v>45</v>
      </c>
      <c r="AI74" s="17">
        <f>IF(AI73=0,0,IF(AI76=AJ76,AI77,(AJ77-AI77)/(AJ76-AI76)*(AI73-AI76)+AI77))</f>
        <v>0.8532831232</v>
      </c>
      <c r="AJ74" s="15"/>
      <c r="AK74" s="15"/>
      <c r="AL74" s="15"/>
      <c r="AM74" s="2"/>
      <c r="AN74" s="2"/>
      <c r="AO74" s="13" t="s">
        <v>45</v>
      </c>
      <c r="AP74" s="17">
        <f>IF(AP73=0,0,IF(AP76=AQ76,AP77,(AQ77-AP77)/(AQ76-AP76)*(AP73-AP76)+AP77))</f>
        <v>1.2199246848</v>
      </c>
      <c r="AQ74" s="15"/>
      <c r="AR74" s="15"/>
      <c r="AS74" s="15"/>
    </row>
    <row r="75" spans="18:45" ht="16.5" hidden="1">
      <c r="R75" s="69">
        <v>3</v>
      </c>
      <c r="S75" s="73" t="s">
        <v>48</v>
      </c>
      <c r="T75" s="72">
        <v>0.0666</v>
      </c>
      <c r="U75" s="72">
        <v>0.0558</v>
      </c>
      <c r="V75" s="72">
        <v>0.0513</v>
      </c>
      <c r="W75" s="72">
        <v>0.0427</v>
      </c>
      <c r="X75" s="72">
        <v>0.0301</v>
      </c>
      <c r="Y75" s="72">
        <v>0.0238</v>
      </c>
      <c r="Z75" s="72">
        <v>0.0211</v>
      </c>
      <c r="AA75" s="72">
        <v>0.0148</v>
      </c>
      <c r="AB75" s="72">
        <v>0.0108</v>
      </c>
      <c r="AC75" s="72">
        <v>0.0076</v>
      </c>
      <c r="AD75" s="72">
        <v>0.004</v>
      </c>
      <c r="AG75" s="2"/>
      <c r="AH75" s="18"/>
      <c r="AI75" s="18">
        <f>IF(AI73&lt;AG60,1,MATCH(AI73,AG60:AG70,1))</f>
        <v>3</v>
      </c>
      <c r="AJ75" s="15">
        <f>IF(OR(AI73&lt;AG60,AI73&gt;AG70),AI75,AI75+1)</f>
        <v>4</v>
      </c>
      <c r="AK75" s="15"/>
      <c r="AL75" s="15"/>
      <c r="AM75" s="2"/>
      <c r="AN75" s="2"/>
      <c r="AO75" s="18"/>
      <c r="AP75" s="18">
        <f>IF(AP73&lt;AN60,1,MATCH(AP73,AN60:AN70,1))</f>
        <v>3</v>
      </c>
      <c r="AQ75" s="15">
        <f>IF(OR(AP73&lt;AN60,AP73&gt;AN70),AP75,AP75+1)</f>
        <v>4</v>
      </c>
      <c r="AR75" s="18"/>
      <c r="AS75" s="15"/>
    </row>
    <row r="76" spans="18:45" ht="16.5" hidden="1">
      <c r="R76" s="69">
        <v>4</v>
      </c>
      <c r="S76" s="73" t="s">
        <v>99</v>
      </c>
      <c r="T76" s="72">
        <v>0.0666</v>
      </c>
      <c r="U76" s="72">
        <v>0.0558</v>
      </c>
      <c r="V76" s="72">
        <v>0.0513</v>
      </c>
      <c r="W76" s="72">
        <v>0.0427</v>
      </c>
      <c r="X76" s="72">
        <v>0.0301</v>
      </c>
      <c r="Y76" s="72">
        <v>0.0238</v>
      </c>
      <c r="Z76" s="72">
        <v>0.0211</v>
      </c>
      <c r="AA76" s="72">
        <v>0.0148</v>
      </c>
      <c r="AB76" s="72">
        <v>0.0108</v>
      </c>
      <c r="AC76" s="72">
        <v>0.0076</v>
      </c>
      <c r="AD76" s="72">
        <v>0.004</v>
      </c>
      <c r="AG76" s="2"/>
      <c r="AH76" s="18"/>
      <c r="AI76" s="18">
        <f ca="1">OFFSET(AG60,AI75-1,0)</f>
        <v>50</v>
      </c>
      <c r="AJ76" s="18">
        <f ca="1">OFFSET(AG60,AJ75-1,0)</f>
        <v>100</v>
      </c>
      <c r="AK76" s="18"/>
      <c r="AL76" s="18"/>
      <c r="AM76" s="34"/>
      <c r="AN76" s="2"/>
      <c r="AO76" s="18"/>
      <c r="AP76" s="18">
        <f ca="1">OFFSET(AN60,AP75-1,0)</f>
        <v>50</v>
      </c>
      <c r="AQ76" s="18">
        <f ca="1">OFFSET(AN60,AQ75-1,0)</f>
        <v>100</v>
      </c>
      <c r="AR76" s="18"/>
      <c r="AS76" s="15"/>
    </row>
    <row r="77" spans="18:45" ht="16.5" hidden="1">
      <c r="R77" s="69">
        <v>5</v>
      </c>
      <c r="S77" s="73" t="s">
        <v>50</v>
      </c>
      <c r="T77" s="72">
        <v>0.0702</v>
      </c>
      <c r="U77" s="72">
        <v>0.0585</v>
      </c>
      <c r="V77" s="72">
        <v>0.054</v>
      </c>
      <c r="W77" s="72">
        <v>0.055</v>
      </c>
      <c r="X77" s="72">
        <v>0.0315</v>
      </c>
      <c r="Y77" s="72">
        <v>0.0252</v>
      </c>
      <c r="Z77" s="72">
        <v>0.022</v>
      </c>
      <c r="AA77" s="72">
        <v>0.0157</v>
      </c>
      <c r="AB77" s="72">
        <v>0.0112</v>
      </c>
      <c r="AC77" s="72">
        <v>0.0081</v>
      </c>
      <c r="AD77" s="72">
        <v>0.0045</v>
      </c>
      <c r="AG77" s="2"/>
      <c r="AH77" s="18"/>
      <c r="AI77" s="19">
        <f ca="1">OFFSET(AG60,AI75-1,AI72)</f>
        <v>0.92</v>
      </c>
      <c r="AJ77" s="19">
        <f ca="1">OFFSET(AG60,AJ75-1,AI72)</f>
        <v>0.84</v>
      </c>
      <c r="AK77" s="19"/>
      <c r="AL77" s="19"/>
      <c r="AM77" s="34"/>
      <c r="AN77" s="2"/>
      <c r="AO77" s="18"/>
      <c r="AP77" s="19">
        <f ca="1">OFFSET(AN60,AP75-1,AP72)</f>
        <v>1.32</v>
      </c>
      <c r="AQ77" s="19">
        <f ca="1">OFFSET(AN60,AQ75-1,AP72)</f>
        <v>1.2</v>
      </c>
      <c r="AR77" s="19"/>
      <c r="AS77" s="15"/>
    </row>
    <row r="78" spans="18:45" ht="15" hidden="1"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</row>
    <row r="79" spans="18:45" ht="18.75" hidden="1">
      <c r="R79" s="65"/>
      <c r="S79" s="13" t="s">
        <v>41</v>
      </c>
      <c r="T79" s="14">
        <f>'Chi phi Du an- NHAVIET'!$C$5</f>
        <v>4</v>
      </c>
      <c r="U79" s="15"/>
      <c r="V79" s="65"/>
      <c r="W79" s="65"/>
      <c r="X79" s="65"/>
      <c r="Y79" s="65"/>
      <c r="Z79" s="65"/>
      <c r="AA79" s="65"/>
      <c r="AB79" s="65"/>
      <c r="AC79" s="65"/>
      <c r="AD79" s="65"/>
      <c r="AG79" s="33" t="s">
        <v>114</v>
      </c>
      <c r="AH79" s="34"/>
      <c r="AI79" s="34"/>
      <c r="AJ79" s="34"/>
      <c r="AK79" s="34"/>
      <c r="AL79" s="34"/>
      <c r="AM79" s="34"/>
      <c r="AN79" s="33" t="s">
        <v>115</v>
      </c>
      <c r="AO79" s="34"/>
      <c r="AP79" s="34"/>
      <c r="AQ79" s="34"/>
      <c r="AR79" s="34"/>
      <c r="AS79" s="34"/>
    </row>
    <row r="80" spans="18:45" ht="16.5" hidden="1">
      <c r="R80" s="65"/>
      <c r="S80" s="13" t="s">
        <v>43</v>
      </c>
      <c r="T80" s="16">
        <f>SUM('Chi phi Du an- NHAVIET'!$C$9)/1000000000</f>
        <v>91.698048</v>
      </c>
      <c r="U80" s="15"/>
      <c r="V80" s="65"/>
      <c r="W80" s="65"/>
      <c r="X80" s="65"/>
      <c r="Y80" s="65"/>
      <c r="Z80" s="65"/>
      <c r="AA80" s="65"/>
      <c r="AB80" s="65"/>
      <c r="AC80" s="65"/>
      <c r="AD80" s="65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</row>
    <row r="81" spans="18:45" ht="16.5" hidden="1">
      <c r="R81" s="65"/>
      <c r="S81" s="13" t="s">
        <v>45</v>
      </c>
      <c r="T81" s="17">
        <f>IF(T80=0,0,IF(T83=U83,T84,(U84-T84)/(U83-T83)*(T80-T83)+T84))</f>
        <v>0.021548305408000002</v>
      </c>
      <c r="U81" s="15"/>
      <c r="V81" s="65"/>
      <c r="W81" s="65"/>
      <c r="X81" s="65"/>
      <c r="Y81" s="65"/>
      <c r="Z81" s="65"/>
      <c r="AA81" s="65"/>
      <c r="AB81" s="65"/>
      <c r="AC81" s="65"/>
      <c r="AD81" s="65"/>
      <c r="AG81" s="35"/>
      <c r="AH81" s="155" t="s">
        <v>8</v>
      </c>
      <c r="AI81" s="155"/>
      <c r="AJ81" s="155"/>
      <c r="AK81" s="86"/>
      <c r="AL81" s="86"/>
      <c r="AM81" s="34"/>
      <c r="AN81" s="35"/>
      <c r="AO81" s="155" t="s">
        <v>8</v>
      </c>
      <c r="AP81" s="155"/>
      <c r="AQ81" s="155"/>
      <c r="AR81" s="155"/>
      <c r="AS81" s="155"/>
    </row>
    <row r="82" spans="18:45" ht="18.75" hidden="1">
      <c r="R82" s="65"/>
      <c r="S82" s="18"/>
      <c r="T82" s="18">
        <f>IF(T80&lt;T72,1,MATCH(T80,T72:AD72,1))</f>
        <v>6</v>
      </c>
      <c r="U82" s="15">
        <f>IF(OR(T80&lt;T72,T80&gt;AD72),T82,T82+1)</f>
        <v>7</v>
      </c>
      <c r="V82" s="65"/>
      <c r="W82" s="65"/>
      <c r="X82" s="65"/>
      <c r="Y82" s="65"/>
      <c r="Z82" s="65"/>
      <c r="AA82" s="65"/>
      <c r="AB82" s="65"/>
      <c r="AC82" s="65"/>
      <c r="AD82" s="65"/>
      <c r="AG82" s="147" t="s">
        <v>10</v>
      </c>
      <c r="AH82" s="152" t="s">
        <v>12</v>
      </c>
      <c r="AI82" s="153"/>
      <c r="AJ82" s="153"/>
      <c r="AK82" s="153"/>
      <c r="AL82" s="154"/>
      <c r="AM82" s="34"/>
      <c r="AN82" s="147" t="s">
        <v>10</v>
      </c>
      <c r="AO82" s="152" t="s">
        <v>12</v>
      </c>
      <c r="AP82" s="153"/>
      <c r="AQ82" s="153"/>
      <c r="AR82" s="153"/>
      <c r="AS82" s="154"/>
    </row>
    <row r="83" spans="18:45" ht="18.75" hidden="1">
      <c r="R83" s="65"/>
      <c r="S83" s="18"/>
      <c r="T83" s="18">
        <f ca="1">OFFSET(T72,0,T82-1)</f>
        <v>50</v>
      </c>
      <c r="U83" s="18">
        <f ca="1">OFFSET(T72,0,U82-1)</f>
        <v>100</v>
      </c>
      <c r="V83" s="65"/>
      <c r="W83" s="65"/>
      <c r="X83" s="65"/>
      <c r="Y83" s="65"/>
      <c r="Z83" s="65"/>
      <c r="AA83" s="65"/>
      <c r="AB83" s="65"/>
      <c r="AC83" s="65"/>
      <c r="AD83" s="65"/>
      <c r="AG83" s="148" t="s">
        <v>11</v>
      </c>
      <c r="AH83" s="36" t="s">
        <v>13</v>
      </c>
      <c r="AI83" s="36" t="s">
        <v>14</v>
      </c>
      <c r="AJ83" s="36" t="s">
        <v>15</v>
      </c>
      <c r="AK83" s="36" t="s">
        <v>17</v>
      </c>
      <c r="AL83" s="36" t="s">
        <v>18</v>
      </c>
      <c r="AM83" s="34"/>
      <c r="AN83" s="148" t="s">
        <v>11</v>
      </c>
      <c r="AO83" s="36" t="s">
        <v>13</v>
      </c>
      <c r="AP83" s="36" t="s">
        <v>14</v>
      </c>
      <c r="AQ83" s="36" t="s">
        <v>15</v>
      </c>
      <c r="AR83" s="36" t="s">
        <v>17</v>
      </c>
      <c r="AS83" s="36" t="s">
        <v>18</v>
      </c>
    </row>
    <row r="84" spans="18:45" ht="18.75" hidden="1">
      <c r="R84" s="65"/>
      <c r="S84" s="18"/>
      <c r="T84" s="19">
        <f ca="1">OFFSET(T72,T79,T82-1)</f>
        <v>0.0238</v>
      </c>
      <c r="U84" s="19">
        <f ca="1">OFFSET(T72,T79,U82-1)</f>
        <v>0.0211</v>
      </c>
      <c r="V84" s="65"/>
      <c r="W84" s="65"/>
      <c r="X84" s="65"/>
      <c r="Y84" s="65"/>
      <c r="Z84" s="65"/>
      <c r="AA84" s="65"/>
      <c r="AB84" s="65"/>
      <c r="AC84" s="65"/>
      <c r="AD84" s="65"/>
      <c r="AG84" s="20"/>
      <c r="AH84" s="36">
        <v>1</v>
      </c>
      <c r="AI84" s="36">
        <v>2</v>
      </c>
      <c r="AJ84" s="36">
        <v>3</v>
      </c>
      <c r="AK84" s="36">
        <v>4</v>
      </c>
      <c r="AL84" s="36">
        <v>5</v>
      </c>
      <c r="AM84" s="34"/>
      <c r="AN84" s="20"/>
      <c r="AO84" s="36">
        <v>1</v>
      </c>
      <c r="AP84" s="36">
        <v>2</v>
      </c>
      <c r="AQ84" s="36">
        <v>3</v>
      </c>
      <c r="AR84" s="36">
        <v>4</v>
      </c>
      <c r="AS84" s="36">
        <v>5</v>
      </c>
    </row>
    <row r="85" spans="33:45" ht="18" hidden="1">
      <c r="AG85" s="46">
        <v>10</v>
      </c>
      <c r="AH85" s="143">
        <v>2.98</v>
      </c>
      <c r="AI85" s="136">
        <v>2.7</v>
      </c>
      <c r="AJ85" s="136">
        <v>2.48</v>
      </c>
      <c r="AK85" s="136">
        <v>2.2</v>
      </c>
      <c r="AL85" s="137">
        <v>1.74</v>
      </c>
      <c r="AM85" s="34"/>
      <c r="AN85" s="46">
        <v>10</v>
      </c>
      <c r="AO85" s="143">
        <v>4.29</v>
      </c>
      <c r="AP85" s="136">
        <v>3.89</v>
      </c>
      <c r="AQ85" s="136">
        <v>3.53</v>
      </c>
      <c r="AR85" s="136">
        <v>3.13</v>
      </c>
      <c r="AS85" s="137">
        <v>2.48</v>
      </c>
    </row>
    <row r="86" spans="33:45" ht="17.25" hidden="1">
      <c r="AG86" s="38">
        <v>20</v>
      </c>
      <c r="AH86" s="144">
        <v>2.6</v>
      </c>
      <c r="AI86" s="141">
        <v>2.36</v>
      </c>
      <c r="AJ86" s="141">
        <v>2.14</v>
      </c>
      <c r="AK86" s="141">
        <v>1.9</v>
      </c>
      <c r="AL86" s="142">
        <v>1.52</v>
      </c>
      <c r="AM86" s="34"/>
      <c r="AN86" s="38">
        <v>20</v>
      </c>
      <c r="AO86" s="144">
        <v>3.75</v>
      </c>
      <c r="AP86" s="141">
        <v>3.4</v>
      </c>
      <c r="AQ86" s="141">
        <v>3.11</v>
      </c>
      <c r="AR86" s="141">
        <v>2.76</v>
      </c>
      <c r="AS86" s="142">
        <v>2.19</v>
      </c>
    </row>
    <row r="87" spans="33:45" ht="17.25" hidden="1">
      <c r="AG87" s="38">
        <v>50</v>
      </c>
      <c r="AH87" s="143">
        <v>2.2</v>
      </c>
      <c r="AI87" s="136">
        <v>1.99</v>
      </c>
      <c r="AJ87" s="136">
        <v>1.8</v>
      </c>
      <c r="AK87" s="136">
        <v>1.6</v>
      </c>
      <c r="AL87" s="137">
        <v>1.27</v>
      </c>
      <c r="AM87" s="34"/>
      <c r="AN87" s="38">
        <v>50</v>
      </c>
      <c r="AO87" s="143">
        <v>3.17</v>
      </c>
      <c r="AP87" s="136">
        <v>2.87</v>
      </c>
      <c r="AQ87" s="136">
        <v>2.62</v>
      </c>
      <c r="AR87" s="136">
        <v>2.31</v>
      </c>
      <c r="AS87" s="137">
        <v>1.82</v>
      </c>
    </row>
    <row r="88" spans="18:45" ht="18.75" hidden="1">
      <c r="R88" s="64" t="s">
        <v>100</v>
      </c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G88" s="38">
        <v>100</v>
      </c>
      <c r="AH88" s="144">
        <v>1.98</v>
      </c>
      <c r="AI88" s="141">
        <v>1.78</v>
      </c>
      <c r="AJ88" s="141">
        <v>1.61</v>
      </c>
      <c r="AK88" s="141">
        <v>1.43</v>
      </c>
      <c r="AL88" s="142">
        <v>1.12</v>
      </c>
      <c r="AM88" s="34"/>
      <c r="AN88" s="38">
        <v>100</v>
      </c>
      <c r="AO88" s="144">
        <v>2.85</v>
      </c>
      <c r="AP88" s="141">
        <v>2.57</v>
      </c>
      <c r="AQ88" s="141">
        <v>2.34</v>
      </c>
      <c r="AR88" s="141">
        <v>2.07</v>
      </c>
      <c r="AS88" s="142">
        <v>1.61</v>
      </c>
    </row>
    <row r="89" spans="18:45" ht="17.25" hidden="1">
      <c r="R89" s="69"/>
      <c r="S89" s="69"/>
      <c r="T89" s="70">
        <v>0.5</v>
      </c>
      <c r="U89" s="71">
        <v>1</v>
      </c>
      <c r="V89" s="71">
        <v>5</v>
      </c>
      <c r="W89" s="71">
        <v>15</v>
      </c>
      <c r="X89" s="71">
        <v>25</v>
      </c>
      <c r="Y89" s="71">
        <v>50</v>
      </c>
      <c r="Z89" s="71">
        <v>100</v>
      </c>
      <c r="AA89" s="71">
        <v>200</v>
      </c>
      <c r="AB89" s="71">
        <v>500</v>
      </c>
      <c r="AC89" s="71">
        <v>1000</v>
      </c>
      <c r="AD89" s="71">
        <v>2000</v>
      </c>
      <c r="AG89" s="38">
        <v>200</v>
      </c>
      <c r="AH89" s="143">
        <v>1.83</v>
      </c>
      <c r="AI89" s="136">
        <v>1.66</v>
      </c>
      <c r="AJ89" s="136">
        <v>1.51</v>
      </c>
      <c r="AK89" s="136">
        <v>1.24</v>
      </c>
      <c r="AL89" s="137">
        <v>1.01</v>
      </c>
      <c r="AM89" s="34"/>
      <c r="AN89" s="38">
        <v>200</v>
      </c>
      <c r="AO89" s="143">
        <v>2.6</v>
      </c>
      <c r="AP89" s="136">
        <v>2.36</v>
      </c>
      <c r="AQ89" s="136">
        <v>2.15</v>
      </c>
      <c r="AR89" s="136">
        <v>1.79</v>
      </c>
      <c r="AS89" s="137">
        <v>1.41</v>
      </c>
    </row>
    <row r="90" spans="18:45" ht="17.25" hidden="1">
      <c r="R90" s="69">
        <v>1</v>
      </c>
      <c r="S90" s="73" t="s">
        <v>46</v>
      </c>
      <c r="T90" s="74">
        <v>0.072</v>
      </c>
      <c r="U90" s="74">
        <v>0.06</v>
      </c>
      <c r="V90" s="74">
        <v>0.053</v>
      </c>
      <c r="W90" s="74">
        <v>0.04</v>
      </c>
      <c r="X90" s="74">
        <v>0.0275</v>
      </c>
      <c r="Y90" s="74">
        <v>0.0265</v>
      </c>
      <c r="Z90" s="74">
        <v>0.0175</v>
      </c>
      <c r="AA90" s="74">
        <v>0.0145</v>
      </c>
      <c r="AB90" s="74">
        <v>0.011</v>
      </c>
      <c r="AC90" s="74">
        <v>0.0075</v>
      </c>
      <c r="AD90" s="74">
        <v>0.004</v>
      </c>
      <c r="AG90" s="38">
        <v>500</v>
      </c>
      <c r="AH90" s="144">
        <v>1.54</v>
      </c>
      <c r="AI90" s="141">
        <v>1.39</v>
      </c>
      <c r="AJ90" s="141">
        <v>1.22</v>
      </c>
      <c r="AK90" s="141">
        <v>1.06</v>
      </c>
      <c r="AL90" s="142">
        <v>0.8</v>
      </c>
      <c r="AM90" s="34"/>
      <c r="AN90" s="38">
        <v>500</v>
      </c>
      <c r="AO90" s="144">
        <v>2.21</v>
      </c>
      <c r="AP90" s="141">
        <v>2</v>
      </c>
      <c r="AQ90" s="141">
        <v>1.73</v>
      </c>
      <c r="AR90" s="141">
        <v>1.52</v>
      </c>
      <c r="AS90" s="142">
        <v>1.14</v>
      </c>
    </row>
    <row r="91" spans="18:45" ht="17.25" hidden="1">
      <c r="R91" s="69">
        <v>2</v>
      </c>
      <c r="S91" s="73" t="s">
        <v>47</v>
      </c>
      <c r="T91" s="74">
        <v>0.09</v>
      </c>
      <c r="U91" s="74">
        <v>0.075</v>
      </c>
      <c r="V91" s="74">
        <v>0.065</v>
      </c>
      <c r="W91" s="74">
        <v>0.05</v>
      </c>
      <c r="X91" s="74">
        <v>0.034</v>
      </c>
      <c r="Y91" s="74">
        <v>0.024</v>
      </c>
      <c r="Z91" s="74">
        <v>0.0225</v>
      </c>
      <c r="AA91" s="74">
        <v>0.018</v>
      </c>
      <c r="AB91" s="74">
        <v>0.0115</v>
      </c>
      <c r="AC91" s="74">
        <v>0.0095</v>
      </c>
      <c r="AD91" s="74">
        <v>0.005</v>
      </c>
      <c r="AG91" s="37">
        <v>1000</v>
      </c>
      <c r="AH91" s="143">
        <v>1.3</v>
      </c>
      <c r="AI91" s="136">
        <v>1.17</v>
      </c>
      <c r="AJ91" s="136">
        <v>1.05</v>
      </c>
      <c r="AK91" s="136">
        <v>0.9</v>
      </c>
      <c r="AL91" s="137">
        <v>0.64</v>
      </c>
      <c r="AM91" s="34"/>
      <c r="AN91" s="37">
        <v>1000</v>
      </c>
      <c r="AO91" s="143">
        <v>1.87</v>
      </c>
      <c r="AP91" s="136">
        <v>1.69</v>
      </c>
      <c r="AQ91" s="136">
        <v>1.48</v>
      </c>
      <c r="AR91" s="136">
        <v>1.29</v>
      </c>
      <c r="AS91" s="137" t="s">
        <v>16</v>
      </c>
    </row>
    <row r="92" spans="18:45" ht="17.25" hidden="1">
      <c r="R92" s="69">
        <v>3</v>
      </c>
      <c r="S92" s="73" t="s">
        <v>48</v>
      </c>
      <c r="T92" s="74">
        <v>0.0755</v>
      </c>
      <c r="U92" s="74">
        <v>0.063</v>
      </c>
      <c r="V92" s="74">
        <v>0.056</v>
      </c>
      <c r="W92" s="74">
        <v>0.042</v>
      </c>
      <c r="X92" s="74">
        <v>0.029</v>
      </c>
      <c r="Y92" s="74">
        <v>0.028</v>
      </c>
      <c r="Z92" s="74">
        <v>0.0185</v>
      </c>
      <c r="AA92" s="74">
        <v>0.015</v>
      </c>
      <c r="AB92" s="74">
        <v>0.0115</v>
      </c>
      <c r="AC92" s="74">
        <v>0.008</v>
      </c>
      <c r="AD92" s="74">
        <v>0.0045</v>
      </c>
      <c r="AG92" s="37">
        <v>2000</v>
      </c>
      <c r="AH92" s="144">
        <v>1.13</v>
      </c>
      <c r="AI92" s="141">
        <v>1.02</v>
      </c>
      <c r="AJ92" s="141">
        <v>0.87</v>
      </c>
      <c r="AK92" s="141">
        <v>0.77</v>
      </c>
      <c r="AL92" s="142" t="s">
        <v>16</v>
      </c>
      <c r="AM92" s="34"/>
      <c r="AN92" s="37">
        <v>2000</v>
      </c>
      <c r="AO92" s="144">
        <v>1.58</v>
      </c>
      <c r="AP92" s="141">
        <v>1.43</v>
      </c>
      <c r="AQ92" s="141">
        <v>1.25</v>
      </c>
      <c r="AR92" s="141">
        <v>1.1</v>
      </c>
      <c r="AS92" s="142" t="s">
        <v>16</v>
      </c>
    </row>
    <row r="93" spans="18:45" ht="17.25" hidden="1">
      <c r="R93" s="69">
        <v>4</v>
      </c>
      <c r="S93" s="73" t="s">
        <v>99</v>
      </c>
      <c r="T93" s="74">
        <v>0.0755</v>
      </c>
      <c r="U93" s="74">
        <v>0.063</v>
      </c>
      <c r="V93" s="74">
        <v>0.056</v>
      </c>
      <c r="W93" s="74">
        <v>0.042</v>
      </c>
      <c r="X93" s="74">
        <v>0.029</v>
      </c>
      <c r="Y93" s="74">
        <v>0.028</v>
      </c>
      <c r="Z93" s="74">
        <v>0.0185</v>
      </c>
      <c r="AA93" s="74">
        <v>0.015</v>
      </c>
      <c r="AB93" s="74">
        <v>0.0115</v>
      </c>
      <c r="AC93" s="74">
        <v>0.008</v>
      </c>
      <c r="AD93" s="74">
        <v>0.0045</v>
      </c>
      <c r="AG93" s="90">
        <v>5000</v>
      </c>
      <c r="AH93" s="143">
        <v>0.85</v>
      </c>
      <c r="AI93" s="136">
        <v>0.77</v>
      </c>
      <c r="AJ93" s="136">
        <v>0.67</v>
      </c>
      <c r="AK93" s="136">
        <v>0.59</v>
      </c>
      <c r="AL93" s="137" t="s">
        <v>16</v>
      </c>
      <c r="AM93" s="34"/>
      <c r="AN93" s="90">
        <v>5000</v>
      </c>
      <c r="AO93" s="143">
        <v>1.22</v>
      </c>
      <c r="AP93" s="136">
        <v>1.1</v>
      </c>
      <c r="AQ93" s="136">
        <v>0.96</v>
      </c>
      <c r="AR93" s="136">
        <v>0.83</v>
      </c>
      <c r="AS93" s="137" t="s">
        <v>16</v>
      </c>
    </row>
    <row r="94" spans="18:45" ht="17.25" hidden="1">
      <c r="R94" s="69">
        <v>5</v>
      </c>
      <c r="S94" s="73" t="s">
        <v>50</v>
      </c>
      <c r="T94" s="74">
        <v>0.108</v>
      </c>
      <c r="U94" s="74">
        <v>0.09</v>
      </c>
      <c r="V94" s="74">
        <v>0.08</v>
      </c>
      <c r="W94" s="74">
        <v>0.06</v>
      </c>
      <c r="X94" s="74">
        <v>0.04</v>
      </c>
      <c r="Y94" s="74">
        <v>0.034</v>
      </c>
      <c r="Z94" s="74">
        <v>0.0265</v>
      </c>
      <c r="AA94" s="74">
        <v>0.022</v>
      </c>
      <c r="AB94" s="74">
        <v>0.0165</v>
      </c>
      <c r="AC94" s="74">
        <v>0.0115</v>
      </c>
      <c r="AD94" s="74">
        <v>0.0057</v>
      </c>
      <c r="AG94" s="47">
        <v>8000</v>
      </c>
      <c r="AH94" s="144">
        <v>0.66</v>
      </c>
      <c r="AI94" s="141">
        <v>0.59</v>
      </c>
      <c r="AJ94" s="141">
        <v>0.49</v>
      </c>
      <c r="AK94" s="141">
        <v>0.43</v>
      </c>
      <c r="AL94" s="142" t="s">
        <v>16</v>
      </c>
      <c r="AM94" s="2"/>
      <c r="AN94" s="47">
        <v>8000</v>
      </c>
      <c r="AO94" s="144">
        <v>0.95</v>
      </c>
      <c r="AP94" s="141">
        <v>0.85</v>
      </c>
      <c r="AQ94" s="141">
        <v>0.69</v>
      </c>
      <c r="AR94" s="141">
        <v>0.6</v>
      </c>
      <c r="AS94" s="142" t="s">
        <v>16</v>
      </c>
    </row>
    <row r="95" spans="18:45" ht="17.25" hidden="1"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G95" s="47">
        <v>10000</v>
      </c>
      <c r="AH95" s="143">
        <v>0.58</v>
      </c>
      <c r="AI95" s="136">
        <v>0.52</v>
      </c>
      <c r="AJ95" s="136">
        <v>0.42</v>
      </c>
      <c r="AK95" s="136">
        <v>0.37</v>
      </c>
      <c r="AL95" s="137" t="s">
        <v>16</v>
      </c>
      <c r="AM95" s="2"/>
      <c r="AN95" s="47">
        <v>10000</v>
      </c>
      <c r="AO95" s="143">
        <v>0.83</v>
      </c>
      <c r="AP95" s="136">
        <v>0.74</v>
      </c>
      <c r="AQ95" s="136">
        <v>0.58</v>
      </c>
      <c r="AR95" s="136">
        <v>0.51</v>
      </c>
      <c r="AS95" s="137" t="s">
        <v>16</v>
      </c>
    </row>
    <row r="96" spans="18:45" ht="16.5" hidden="1">
      <c r="R96" s="65"/>
      <c r="S96" s="13" t="s">
        <v>41</v>
      </c>
      <c r="T96" s="14">
        <f>'Chi phi Du an- NHAVIET'!$C$5</f>
        <v>4</v>
      </c>
      <c r="U96" s="15"/>
      <c r="V96" s="65"/>
      <c r="W96" s="65"/>
      <c r="X96" s="65"/>
      <c r="Y96" s="65"/>
      <c r="Z96" s="65"/>
      <c r="AA96" s="65"/>
      <c r="AB96" s="65"/>
      <c r="AC96" s="65"/>
      <c r="AD96" s="65"/>
      <c r="AG96" s="34"/>
      <c r="AH96" s="34"/>
      <c r="AI96" s="34"/>
      <c r="AJ96" s="34"/>
      <c r="AK96" s="34"/>
      <c r="AL96" s="34"/>
      <c r="AM96" s="2"/>
      <c r="AN96" s="34"/>
      <c r="AO96" s="34"/>
      <c r="AP96" s="34"/>
      <c r="AQ96" s="34"/>
      <c r="AR96" s="34"/>
      <c r="AS96" s="34"/>
    </row>
    <row r="97" spans="18:45" ht="16.5" hidden="1">
      <c r="R97" s="65"/>
      <c r="S97" s="13" t="s">
        <v>43</v>
      </c>
      <c r="T97" s="16">
        <f>SUM('Chi phi Du an- NHAVIET'!$C$9)/1000000000</f>
        <v>91.698048</v>
      </c>
      <c r="U97" s="15"/>
      <c r="V97" s="65"/>
      <c r="W97" s="65"/>
      <c r="X97" s="65"/>
      <c r="Y97" s="65"/>
      <c r="Z97" s="65"/>
      <c r="AA97" s="65"/>
      <c r="AB97" s="65"/>
      <c r="AC97" s="65"/>
      <c r="AD97" s="65"/>
      <c r="AG97" s="2"/>
      <c r="AH97" s="13" t="s">
        <v>61</v>
      </c>
      <c r="AI97" s="48">
        <f>'Chi phi Du an- NHAVIET'!$C$7</f>
        <v>3</v>
      </c>
      <c r="AJ97" s="15"/>
      <c r="AK97" s="15"/>
      <c r="AL97" s="15"/>
      <c r="AM97" s="2"/>
      <c r="AN97" s="2"/>
      <c r="AO97" s="13" t="s">
        <v>61</v>
      </c>
      <c r="AP97" s="48">
        <f>'Chi phi Du an- NHAVIET'!$C$7</f>
        <v>3</v>
      </c>
      <c r="AQ97" s="15"/>
      <c r="AR97" s="15"/>
      <c r="AS97" s="15"/>
    </row>
    <row r="98" spans="18:45" ht="16.5" hidden="1">
      <c r="R98" s="65"/>
      <c r="S98" s="13" t="s">
        <v>45</v>
      </c>
      <c r="T98" s="17">
        <f>IF(T97=0,0,IF(T100=U100,T101,(U101-T101)/(U100-T100)*(T97-T100)+T101))</f>
        <v>0.02007737088</v>
      </c>
      <c r="U98" s="15"/>
      <c r="V98" s="65"/>
      <c r="W98" s="65"/>
      <c r="X98" s="65"/>
      <c r="Y98" s="65"/>
      <c r="Z98" s="65"/>
      <c r="AA98" s="65"/>
      <c r="AB98" s="65"/>
      <c r="AC98" s="65"/>
      <c r="AD98" s="65"/>
      <c r="AG98" s="2"/>
      <c r="AH98" s="13" t="s">
        <v>43</v>
      </c>
      <c r="AI98" s="16">
        <f>'Chi phi Du an- NHAVIET'!$C$9/1000000000</f>
        <v>91.698048</v>
      </c>
      <c r="AJ98" s="15"/>
      <c r="AK98" s="15"/>
      <c r="AL98" s="15"/>
      <c r="AM98" s="2"/>
      <c r="AN98" s="2"/>
      <c r="AO98" s="13" t="s">
        <v>43</v>
      </c>
      <c r="AP98" s="16">
        <f>'Chi phi Du an- NHAVIET'!$C$9/1000000000</f>
        <v>91.698048</v>
      </c>
      <c r="AQ98" s="15"/>
      <c r="AR98" s="15"/>
      <c r="AS98" s="15"/>
    </row>
    <row r="99" spans="18:45" ht="16.5" hidden="1">
      <c r="R99" s="65"/>
      <c r="S99" s="18"/>
      <c r="T99" s="18">
        <f>IF(T97&lt;T89,1,MATCH(T97,T89:AD89,1))</f>
        <v>6</v>
      </c>
      <c r="U99" s="15">
        <f>IF(OR(T97&lt;T89,T97&gt;AD89),T99,T99+1)</f>
        <v>7</v>
      </c>
      <c r="V99" s="65"/>
      <c r="W99" s="65"/>
      <c r="X99" s="65"/>
      <c r="Y99" s="65"/>
      <c r="Z99" s="65"/>
      <c r="AA99" s="65"/>
      <c r="AB99" s="65"/>
      <c r="AC99" s="65"/>
      <c r="AD99" s="65"/>
      <c r="AG99" s="2"/>
      <c r="AH99" s="13" t="s">
        <v>45</v>
      </c>
      <c r="AI99" s="17">
        <f>IF(AI98=0,0,IF(AI101=AJ101,AI102,(AJ102-AI102)/(AJ101-AI101)*(AI98-AI101)+AI102))</f>
        <v>1.6415474176</v>
      </c>
      <c r="AJ99" s="15"/>
      <c r="AK99" s="15"/>
      <c r="AL99" s="15"/>
      <c r="AM99" s="2"/>
      <c r="AN99" s="2"/>
      <c r="AO99" s="13" t="s">
        <v>45</v>
      </c>
      <c r="AP99" s="17">
        <f>IF(AP98=0,0,IF(AP101=AQ101,AP102,(AQ102-AP102)/(AQ101-AP101)*(AP98-AP101)+AP102))</f>
        <v>2.3864909312</v>
      </c>
      <c r="AQ99" s="15"/>
      <c r="AR99" s="15"/>
      <c r="AS99" s="15"/>
    </row>
    <row r="100" spans="18:45" ht="16.5" hidden="1">
      <c r="R100" s="65"/>
      <c r="S100" s="18"/>
      <c r="T100" s="18">
        <f ca="1">OFFSET(T89,0,T99-1)</f>
        <v>50</v>
      </c>
      <c r="U100" s="18">
        <f ca="1">OFFSET(T89,0,U99-1)</f>
        <v>100</v>
      </c>
      <c r="V100" s="65"/>
      <c r="W100" s="65"/>
      <c r="X100" s="65"/>
      <c r="Y100" s="65"/>
      <c r="Z100" s="65"/>
      <c r="AA100" s="65"/>
      <c r="AB100" s="65"/>
      <c r="AC100" s="65"/>
      <c r="AD100" s="65"/>
      <c r="AG100" s="2"/>
      <c r="AH100" s="18"/>
      <c r="AI100" s="18">
        <f>IF(AI98&lt;AG85,1,MATCH(AI98,AG85:AG95,1))</f>
        <v>3</v>
      </c>
      <c r="AJ100" s="15">
        <f>IF(OR(AI98&lt;AG85,AI98&gt;AG95),AI100,AI100+1)</f>
        <v>4</v>
      </c>
      <c r="AK100" s="15"/>
      <c r="AL100" s="15"/>
      <c r="AM100" s="34"/>
      <c r="AN100" s="2"/>
      <c r="AO100" s="18"/>
      <c r="AP100" s="18">
        <f>IF(AP98&lt;AN85,1,MATCH(AP98,AN85:AN95,1))</f>
        <v>3</v>
      </c>
      <c r="AQ100" s="15">
        <f>IF(OR(AP98&lt;AN85,AP98&gt;AN95),AP100,AP100+1)</f>
        <v>4</v>
      </c>
      <c r="AR100" s="18"/>
      <c r="AS100" s="15"/>
    </row>
    <row r="101" spans="18:45" ht="16.5" hidden="1">
      <c r="R101" s="65"/>
      <c r="S101" s="18"/>
      <c r="T101" s="19">
        <f ca="1">OFFSET(T89,T96,T99-1)</f>
        <v>0.028</v>
      </c>
      <c r="U101" s="19">
        <f ca="1">OFFSET(T89,T96,U99-1)</f>
        <v>0.0185</v>
      </c>
      <c r="V101" s="65"/>
      <c r="W101" s="65"/>
      <c r="X101" s="65"/>
      <c r="Y101" s="65"/>
      <c r="Z101" s="65"/>
      <c r="AA101" s="65"/>
      <c r="AB101" s="65"/>
      <c r="AC101" s="65"/>
      <c r="AD101" s="65"/>
      <c r="AG101" s="2"/>
      <c r="AH101" s="18"/>
      <c r="AI101" s="18">
        <f ca="1">OFFSET(AG85,AI100-1,0)</f>
        <v>50</v>
      </c>
      <c r="AJ101" s="18">
        <f ca="1">OFFSET(AG85,AJ100-1,0)</f>
        <v>100</v>
      </c>
      <c r="AK101" s="18"/>
      <c r="AL101" s="18"/>
      <c r="AM101" s="34"/>
      <c r="AN101" s="2"/>
      <c r="AO101" s="18"/>
      <c r="AP101" s="18">
        <f ca="1">OFFSET(AN85,AP100-1,0)</f>
        <v>50</v>
      </c>
      <c r="AQ101" s="18">
        <f ca="1">OFFSET(AN85,AQ100-1,0)</f>
        <v>100</v>
      </c>
      <c r="AR101" s="18"/>
      <c r="AS101" s="15"/>
    </row>
    <row r="102" spans="33:45" ht="16.5" hidden="1">
      <c r="AG102" s="2"/>
      <c r="AH102" s="18"/>
      <c r="AI102" s="19">
        <f ca="1">OFFSET(AG85,AI100-1,AI97)</f>
        <v>1.8</v>
      </c>
      <c r="AJ102" s="19">
        <f ca="1">OFFSET(AG85,AJ100-1,AI97)</f>
        <v>1.61</v>
      </c>
      <c r="AK102" s="19"/>
      <c r="AL102" s="19"/>
      <c r="AM102" s="34"/>
      <c r="AN102" s="2"/>
      <c r="AO102" s="18"/>
      <c r="AP102" s="19">
        <f ca="1">OFFSET(AN85,AP100-1,AP97)</f>
        <v>2.62</v>
      </c>
      <c r="AQ102" s="19">
        <f ca="1">OFFSET(AN85,AQ100-1,AP97)</f>
        <v>2.34</v>
      </c>
      <c r="AR102" s="19"/>
      <c r="AS102" s="15"/>
    </row>
    <row r="103" spans="33:45" ht="15" hidden="1"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</row>
    <row r="104" spans="18:45" ht="18.75" hidden="1">
      <c r="R104" s="1" t="s">
        <v>105</v>
      </c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G104" s="33" t="s">
        <v>33</v>
      </c>
      <c r="AH104" s="34"/>
      <c r="AI104" s="34"/>
      <c r="AJ104" s="34"/>
      <c r="AK104" s="34"/>
      <c r="AL104" s="34"/>
      <c r="AM104" s="34"/>
      <c r="AN104" s="33" t="s">
        <v>30</v>
      </c>
      <c r="AO104" s="34"/>
      <c r="AP104" s="34"/>
      <c r="AQ104" s="34"/>
      <c r="AR104" s="34"/>
      <c r="AS104" s="34"/>
    </row>
    <row r="105" spans="18:45" ht="18.75" hidden="1"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3" t="s">
        <v>8</v>
      </c>
      <c r="AE105" s="3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</row>
    <row r="106" spans="18:45" ht="18.75" hidden="1">
      <c r="R106" s="147" t="s">
        <v>0</v>
      </c>
      <c r="S106" s="147" t="s">
        <v>9</v>
      </c>
      <c r="T106" s="157" t="s">
        <v>2</v>
      </c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9"/>
      <c r="AG106" s="35"/>
      <c r="AH106" s="155" t="s">
        <v>8</v>
      </c>
      <c r="AI106" s="155"/>
      <c r="AJ106" s="155"/>
      <c r="AK106" s="86"/>
      <c r="AL106" s="86"/>
      <c r="AM106" s="34"/>
      <c r="AN106" s="35"/>
      <c r="AO106" s="155" t="s">
        <v>8</v>
      </c>
      <c r="AP106" s="155"/>
      <c r="AQ106" s="155"/>
      <c r="AR106" s="155"/>
      <c r="AS106" s="155"/>
    </row>
    <row r="107" spans="18:45" ht="18.75" hidden="1">
      <c r="R107" s="148"/>
      <c r="S107" s="148"/>
      <c r="T107" s="88">
        <v>15</v>
      </c>
      <c r="U107" s="20">
        <v>20</v>
      </c>
      <c r="V107" s="20">
        <v>50</v>
      </c>
      <c r="W107" s="20">
        <v>100</v>
      </c>
      <c r="X107" s="20">
        <v>200</v>
      </c>
      <c r="Y107" s="20">
        <v>500</v>
      </c>
      <c r="Z107" s="20">
        <v>1000</v>
      </c>
      <c r="AA107" s="21">
        <v>2000</v>
      </c>
      <c r="AB107" s="21">
        <v>5000</v>
      </c>
      <c r="AC107" s="21">
        <v>10000</v>
      </c>
      <c r="AD107" s="21">
        <v>20000</v>
      </c>
      <c r="AE107" s="21">
        <v>30000</v>
      </c>
      <c r="AG107" s="147" t="s">
        <v>10</v>
      </c>
      <c r="AH107" s="152" t="s">
        <v>12</v>
      </c>
      <c r="AI107" s="153"/>
      <c r="AJ107" s="153"/>
      <c r="AK107" s="153"/>
      <c r="AL107" s="154"/>
      <c r="AM107" s="34"/>
      <c r="AN107" s="147" t="s">
        <v>10</v>
      </c>
      <c r="AO107" s="152" t="s">
        <v>12</v>
      </c>
      <c r="AP107" s="153"/>
      <c r="AQ107" s="153"/>
      <c r="AR107" s="153"/>
      <c r="AS107" s="154"/>
    </row>
    <row r="108" spans="18:45" ht="18.75" hidden="1">
      <c r="R108" s="22">
        <v>1</v>
      </c>
      <c r="S108" s="23" t="s">
        <v>3</v>
      </c>
      <c r="T108" s="24">
        <v>0.098</v>
      </c>
      <c r="U108" s="24">
        <v>0.081</v>
      </c>
      <c r="V108" s="24">
        <v>0.066</v>
      </c>
      <c r="W108" s="24">
        <v>0.047</v>
      </c>
      <c r="X108" s="24">
        <v>0.035</v>
      </c>
      <c r="Y108" s="24">
        <v>0.023</v>
      </c>
      <c r="Z108" s="24">
        <v>0.02</v>
      </c>
      <c r="AA108" s="24">
        <v>0.017</v>
      </c>
      <c r="AB108" s="24">
        <v>0.014</v>
      </c>
      <c r="AC108" s="24">
        <v>0.01</v>
      </c>
      <c r="AD108" s="24">
        <v>0.008</v>
      </c>
      <c r="AE108" s="24">
        <v>0.006</v>
      </c>
      <c r="AG108" s="148" t="s">
        <v>11</v>
      </c>
      <c r="AH108" s="36" t="s">
        <v>13</v>
      </c>
      <c r="AI108" s="36" t="s">
        <v>14</v>
      </c>
      <c r="AJ108" s="36" t="s">
        <v>15</v>
      </c>
      <c r="AK108" s="36" t="s">
        <v>17</v>
      </c>
      <c r="AL108" s="36" t="s">
        <v>18</v>
      </c>
      <c r="AM108" s="34"/>
      <c r="AN108" s="148" t="s">
        <v>11</v>
      </c>
      <c r="AO108" s="36" t="s">
        <v>13</v>
      </c>
      <c r="AP108" s="36" t="s">
        <v>14</v>
      </c>
      <c r="AQ108" s="36" t="s">
        <v>15</v>
      </c>
      <c r="AR108" s="36" t="s">
        <v>17</v>
      </c>
      <c r="AS108" s="36" t="s">
        <v>18</v>
      </c>
    </row>
    <row r="109" spans="18:45" ht="18.75" hidden="1">
      <c r="R109" s="7">
        <v>2</v>
      </c>
      <c r="S109" s="25" t="s">
        <v>4</v>
      </c>
      <c r="T109" s="9">
        <v>0.14</v>
      </c>
      <c r="U109" s="9">
        <v>0.119</v>
      </c>
      <c r="V109" s="9">
        <v>0.095</v>
      </c>
      <c r="W109" s="9">
        <v>0.07</v>
      </c>
      <c r="X109" s="9">
        <v>0.055</v>
      </c>
      <c r="Y109" s="9">
        <v>0.041</v>
      </c>
      <c r="Z109" s="9">
        <v>0.036</v>
      </c>
      <c r="AA109" s="9">
        <v>0.029</v>
      </c>
      <c r="AB109" s="9">
        <v>0.025</v>
      </c>
      <c r="AC109" s="9">
        <v>0.015</v>
      </c>
      <c r="AD109" s="9">
        <v>0.01</v>
      </c>
      <c r="AE109" s="9">
        <v>0.007</v>
      </c>
      <c r="AG109" s="20"/>
      <c r="AH109" s="36">
        <v>1</v>
      </c>
      <c r="AI109" s="36">
        <v>2</v>
      </c>
      <c r="AJ109" s="36">
        <v>3</v>
      </c>
      <c r="AK109" s="36">
        <v>4</v>
      </c>
      <c r="AL109" s="36">
        <v>5</v>
      </c>
      <c r="AM109" s="34"/>
      <c r="AN109" s="20"/>
      <c r="AO109" s="36">
        <v>1</v>
      </c>
      <c r="AP109" s="36">
        <v>2</v>
      </c>
      <c r="AQ109" s="36">
        <v>3</v>
      </c>
      <c r="AR109" s="36">
        <v>4</v>
      </c>
      <c r="AS109" s="36">
        <v>5</v>
      </c>
    </row>
    <row r="110" spans="18:45" ht="18" hidden="1">
      <c r="R110" s="7">
        <v>3</v>
      </c>
      <c r="S110" s="25" t="s">
        <v>5</v>
      </c>
      <c r="T110" s="9">
        <v>0.074</v>
      </c>
      <c r="U110" s="9">
        <v>0.067</v>
      </c>
      <c r="V110" s="9">
        <v>0.054</v>
      </c>
      <c r="W110" s="9">
        <v>0.042</v>
      </c>
      <c r="X110" s="9">
        <v>0.029</v>
      </c>
      <c r="Y110" s="9">
        <v>0.018</v>
      </c>
      <c r="Z110" s="9">
        <v>0.016</v>
      </c>
      <c r="AA110" s="9">
        <v>0.013</v>
      </c>
      <c r="AB110" s="9">
        <v>0.011</v>
      </c>
      <c r="AC110" s="9">
        <v>0.007</v>
      </c>
      <c r="AD110" s="9">
        <v>0.005</v>
      </c>
      <c r="AE110" s="9">
        <v>0.004</v>
      </c>
      <c r="AG110" s="46">
        <v>10</v>
      </c>
      <c r="AH110" s="143">
        <v>2.22</v>
      </c>
      <c r="AI110" s="136">
        <v>2.09</v>
      </c>
      <c r="AJ110" s="136">
        <v>1.86</v>
      </c>
      <c r="AK110" s="136">
        <v>1.62</v>
      </c>
      <c r="AL110" s="137">
        <v>1.45</v>
      </c>
      <c r="AM110" s="34"/>
      <c r="AN110" s="46">
        <v>10</v>
      </c>
      <c r="AO110" s="143">
        <v>3.23</v>
      </c>
      <c r="AP110" s="136">
        <v>3.01</v>
      </c>
      <c r="AQ110" s="136">
        <v>2.68</v>
      </c>
      <c r="AR110" s="136">
        <v>2.36</v>
      </c>
      <c r="AS110" s="137">
        <v>2.07</v>
      </c>
    </row>
    <row r="111" spans="18:45" ht="18" hidden="1">
      <c r="R111" s="9">
        <v>4</v>
      </c>
      <c r="S111" s="25" t="s">
        <v>6</v>
      </c>
      <c r="T111" s="9">
        <v>0.088</v>
      </c>
      <c r="U111" s="9">
        <v>0.08</v>
      </c>
      <c r="V111" s="9">
        <v>0.064</v>
      </c>
      <c r="W111" s="9">
        <v>0.045</v>
      </c>
      <c r="X111" s="9">
        <v>0.034</v>
      </c>
      <c r="Y111" s="9">
        <v>0.022</v>
      </c>
      <c r="Z111" s="9">
        <v>0.019</v>
      </c>
      <c r="AA111" s="9">
        <v>0.016</v>
      </c>
      <c r="AB111" s="9">
        <v>0.013</v>
      </c>
      <c r="AC111" s="9">
        <v>0.009</v>
      </c>
      <c r="AD111" s="9">
        <v>0.007</v>
      </c>
      <c r="AE111" s="9">
        <v>0.005</v>
      </c>
      <c r="AG111" s="38">
        <v>20</v>
      </c>
      <c r="AH111" s="144">
        <v>1.94</v>
      </c>
      <c r="AI111" s="141">
        <v>1.83</v>
      </c>
      <c r="AJ111" s="141">
        <v>1.62</v>
      </c>
      <c r="AK111" s="141">
        <v>1.39</v>
      </c>
      <c r="AL111" s="142">
        <v>1.23</v>
      </c>
      <c r="AM111" s="34"/>
      <c r="AN111" s="38">
        <v>20</v>
      </c>
      <c r="AO111" s="144">
        <v>2.79</v>
      </c>
      <c r="AP111" s="141">
        <v>2.63</v>
      </c>
      <c r="AQ111" s="141">
        <v>2.33</v>
      </c>
      <c r="AR111" s="141">
        <v>2.01</v>
      </c>
      <c r="AS111" s="142">
        <v>1.76</v>
      </c>
    </row>
    <row r="112" spans="18:45" ht="18" hidden="1">
      <c r="R112" s="10">
        <v>5</v>
      </c>
      <c r="S112" s="26" t="s">
        <v>7</v>
      </c>
      <c r="T112" s="10">
        <v>0.077</v>
      </c>
      <c r="U112" s="10">
        <v>0.07</v>
      </c>
      <c r="V112" s="10">
        <v>0.056</v>
      </c>
      <c r="W112" s="10">
        <v>0.044</v>
      </c>
      <c r="X112" s="10">
        <v>0.03</v>
      </c>
      <c r="Y112" s="10">
        <v>0.019</v>
      </c>
      <c r="Z112" s="10">
        <v>0.017</v>
      </c>
      <c r="AA112" s="10">
        <v>0.014</v>
      </c>
      <c r="AB112" s="10">
        <v>0.012</v>
      </c>
      <c r="AC112" s="10">
        <v>0.008</v>
      </c>
      <c r="AD112" s="10">
        <v>0.006</v>
      </c>
      <c r="AE112" s="10">
        <v>0.004</v>
      </c>
      <c r="AG112" s="38">
        <v>50</v>
      </c>
      <c r="AH112" s="143">
        <v>1.63</v>
      </c>
      <c r="AI112" s="136">
        <v>1.53</v>
      </c>
      <c r="AJ112" s="136">
        <v>1.36</v>
      </c>
      <c r="AK112" s="136">
        <v>1.19</v>
      </c>
      <c r="AL112" s="137">
        <v>1.01</v>
      </c>
      <c r="AM112" s="34"/>
      <c r="AN112" s="38">
        <v>50</v>
      </c>
      <c r="AO112" s="143">
        <v>2.35</v>
      </c>
      <c r="AP112" s="136">
        <v>2.21</v>
      </c>
      <c r="AQ112" s="136">
        <v>1.97</v>
      </c>
      <c r="AR112" s="136">
        <v>1.72</v>
      </c>
      <c r="AS112" s="137">
        <v>1.49</v>
      </c>
    </row>
    <row r="113" spans="18:45" ht="17.25" hidden="1"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G113" s="38">
        <v>100</v>
      </c>
      <c r="AH113" s="144">
        <v>1.48</v>
      </c>
      <c r="AI113" s="141">
        <v>1.38</v>
      </c>
      <c r="AJ113" s="141">
        <v>1.22</v>
      </c>
      <c r="AK113" s="141">
        <v>1.07</v>
      </c>
      <c r="AL113" s="142">
        <v>0.92</v>
      </c>
      <c r="AM113" s="34"/>
      <c r="AN113" s="38">
        <v>100</v>
      </c>
      <c r="AO113" s="144">
        <v>2.13</v>
      </c>
      <c r="AP113" s="141">
        <v>1.99</v>
      </c>
      <c r="AQ113" s="141">
        <v>1.77</v>
      </c>
      <c r="AR113" s="141">
        <v>1.55</v>
      </c>
      <c r="AS113" s="142">
        <v>1.35</v>
      </c>
    </row>
    <row r="114" spans="18:45" ht="17.25" hidden="1">
      <c r="R114" s="2"/>
      <c r="S114" s="13" t="s">
        <v>41</v>
      </c>
      <c r="T114" s="14">
        <f>'Chi phi Du an- NHAVIET'!$C$5</f>
        <v>4</v>
      </c>
      <c r="U114" s="15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G114" s="38">
        <v>200</v>
      </c>
      <c r="AH114" s="143">
        <v>1.36</v>
      </c>
      <c r="AI114" s="136">
        <v>1.28</v>
      </c>
      <c r="AJ114" s="136">
        <v>1.13</v>
      </c>
      <c r="AK114" s="136">
        <v>0.97</v>
      </c>
      <c r="AL114" s="137">
        <v>0.8</v>
      </c>
      <c r="AM114" s="34"/>
      <c r="AN114" s="38">
        <v>200</v>
      </c>
      <c r="AO114" s="143">
        <v>1.95</v>
      </c>
      <c r="AP114" s="136">
        <v>1.82</v>
      </c>
      <c r="AQ114" s="136">
        <v>1.58</v>
      </c>
      <c r="AR114" s="136">
        <v>1.39</v>
      </c>
      <c r="AS114" s="137">
        <v>1.15</v>
      </c>
    </row>
    <row r="115" spans="18:45" ht="17.25" hidden="1">
      <c r="R115" s="2"/>
      <c r="S115" s="13" t="s">
        <v>42</v>
      </c>
      <c r="T115" s="16">
        <f>SUM('Chi phi Du an- NHAVIET'!$C$9:$C$10)/1000000000</f>
        <v>91.698048</v>
      </c>
      <c r="U115" s="15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G115" s="38">
        <v>500</v>
      </c>
      <c r="AH115" s="144">
        <v>1.14</v>
      </c>
      <c r="AI115" s="141">
        <v>1.04</v>
      </c>
      <c r="AJ115" s="141">
        <v>0.91</v>
      </c>
      <c r="AK115" s="141">
        <v>0.8</v>
      </c>
      <c r="AL115" s="142">
        <v>0.7</v>
      </c>
      <c r="AM115" s="34"/>
      <c r="AN115" s="38">
        <v>500</v>
      </c>
      <c r="AO115" s="144">
        <v>1.64</v>
      </c>
      <c r="AP115" s="141">
        <v>1.49</v>
      </c>
      <c r="AQ115" s="141">
        <v>1.32</v>
      </c>
      <c r="AR115" s="141">
        <v>1.16</v>
      </c>
      <c r="AS115" s="142">
        <v>0.98</v>
      </c>
    </row>
    <row r="116" spans="18:45" ht="17.25" hidden="1">
      <c r="R116" s="2"/>
      <c r="S116" s="13" t="s">
        <v>45</v>
      </c>
      <c r="T116" s="17">
        <f>IF(T115=0,0,IF(T118=U118,T119,(U119-T119)/(U118-T118)*(T115-T118)+T119))</f>
        <v>0.048154741759999994</v>
      </c>
      <c r="U116" s="15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G116" s="37">
        <v>1000</v>
      </c>
      <c r="AH116" s="143">
        <v>0.97</v>
      </c>
      <c r="AI116" s="136">
        <v>0.9</v>
      </c>
      <c r="AJ116" s="136">
        <v>0.78</v>
      </c>
      <c r="AK116" s="136">
        <v>0.7</v>
      </c>
      <c r="AL116" s="137">
        <v>0.58</v>
      </c>
      <c r="AM116" s="34"/>
      <c r="AN116" s="37">
        <v>1000</v>
      </c>
      <c r="AO116" s="143">
        <v>1.39</v>
      </c>
      <c r="AP116" s="136">
        <v>1.28</v>
      </c>
      <c r="AQ116" s="136">
        <v>1.14</v>
      </c>
      <c r="AR116" s="136">
        <v>1.02</v>
      </c>
      <c r="AS116" s="137" t="s">
        <v>16</v>
      </c>
    </row>
    <row r="117" spans="18:45" ht="17.25" hidden="1">
      <c r="R117" s="2"/>
      <c r="S117" s="18"/>
      <c r="T117" s="18">
        <f>IF(T115&lt;T107,1,MATCH(T115,T107:AE107,1))</f>
        <v>3</v>
      </c>
      <c r="U117" s="15">
        <f>IF(OR(T115&lt;T107,T115&gt;AE107),T117,T117+1)</f>
        <v>4</v>
      </c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G117" s="37">
        <v>2000</v>
      </c>
      <c r="AH117" s="144">
        <v>0.83</v>
      </c>
      <c r="AI117" s="141">
        <v>0.75</v>
      </c>
      <c r="AJ117" s="141">
        <v>0.66</v>
      </c>
      <c r="AK117" s="141">
        <v>0.56</v>
      </c>
      <c r="AL117" s="142" t="s">
        <v>16</v>
      </c>
      <c r="AM117" s="34"/>
      <c r="AN117" s="37">
        <v>2000</v>
      </c>
      <c r="AO117" s="144">
        <v>1.19</v>
      </c>
      <c r="AP117" s="141">
        <v>1.07</v>
      </c>
      <c r="AQ117" s="141">
        <v>0.92</v>
      </c>
      <c r="AR117" s="141">
        <v>0.81</v>
      </c>
      <c r="AS117" s="142" t="s">
        <v>16</v>
      </c>
    </row>
    <row r="118" spans="18:45" ht="17.25" hidden="1">
      <c r="R118" s="2"/>
      <c r="S118" s="18"/>
      <c r="T118" s="18">
        <f ca="1">OFFSET(T107,0,T117-1)</f>
        <v>50</v>
      </c>
      <c r="U118" s="18">
        <f ca="1">OFFSET(T107,0,U117-1)</f>
        <v>100</v>
      </c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G118" s="90">
        <v>5000</v>
      </c>
      <c r="AH118" s="143">
        <v>0.61</v>
      </c>
      <c r="AI118" s="136">
        <v>0.53</v>
      </c>
      <c r="AJ118" s="136">
        <v>0.47</v>
      </c>
      <c r="AK118" s="136">
        <v>0.41</v>
      </c>
      <c r="AL118" s="137" t="s">
        <v>16</v>
      </c>
      <c r="AM118" s="2"/>
      <c r="AN118" s="90">
        <v>5000</v>
      </c>
      <c r="AO118" s="143">
        <v>0.9</v>
      </c>
      <c r="AP118" s="136">
        <v>0.79</v>
      </c>
      <c r="AQ118" s="136">
        <v>0.7</v>
      </c>
      <c r="AR118" s="136">
        <v>0.61</v>
      </c>
      <c r="AS118" s="137" t="s">
        <v>16</v>
      </c>
    </row>
    <row r="119" spans="18:45" ht="17.25" hidden="1">
      <c r="R119" s="2"/>
      <c r="S119" s="18"/>
      <c r="T119" s="19">
        <f ca="1">OFFSET(T107,T114,T117-1)</f>
        <v>0.064</v>
      </c>
      <c r="U119" s="19">
        <f ca="1">OFFSET(T107,T114,U117-1)</f>
        <v>0.045</v>
      </c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G119" s="47">
        <v>8000</v>
      </c>
      <c r="AH119" s="144">
        <v>0.48</v>
      </c>
      <c r="AI119" s="141">
        <v>0.39</v>
      </c>
      <c r="AJ119" s="141">
        <v>0.34</v>
      </c>
      <c r="AK119" s="141">
        <v>0.29</v>
      </c>
      <c r="AL119" s="142" t="s">
        <v>16</v>
      </c>
      <c r="AM119" s="2"/>
      <c r="AN119" s="47">
        <v>8000</v>
      </c>
      <c r="AO119" s="144">
        <v>0.7</v>
      </c>
      <c r="AP119" s="141">
        <v>0.58</v>
      </c>
      <c r="AQ119" s="141">
        <v>0.51</v>
      </c>
      <c r="AR119" s="141">
        <v>0.44</v>
      </c>
      <c r="AS119" s="142" t="s">
        <v>16</v>
      </c>
    </row>
    <row r="120" spans="33:45" ht="17.25" hidden="1">
      <c r="AG120" s="47">
        <v>10000</v>
      </c>
      <c r="AH120" s="143">
        <v>0.43</v>
      </c>
      <c r="AI120" s="136">
        <v>0.33</v>
      </c>
      <c r="AJ120" s="136">
        <v>0.29</v>
      </c>
      <c r="AK120" s="136">
        <v>0.25</v>
      </c>
      <c r="AL120" s="137" t="s">
        <v>16</v>
      </c>
      <c r="AM120" s="2"/>
      <c r="AN120" s="47">
        <v>10000</v>
      </c>
      <c r="AO120" s="143">
        <v>0.63</v>
      </c>
      <c r="AP120" s="136">
        <v>0.49</v>
      </c>
      <c r="AQ120" s="136">
        <v>0.43</v>
      </c>
      <c r="AR120" s="136">
        <v>0.36</v>
      </c>
      <c r="AS120" s="137" t="s">
        <v>16</v>
      </c>
    </row>
    <row r="121" spans="33:45" ht="15" hidden="1">
      <c r="AG121" s="34"/>
      <c r="AH121" s="34"/>
      <c r="AI121" s="34"/>
      <c r="AJ121" s="34"/>
      <c r="AK121" s="34"/>
      <c r="AL121" s="34"/>
      <c r="AM121" s="2"/>
      <c r="AN121" s="34"/>
      <c r="AO121" s="34"/>
      <c r="AP121" s="34"/>
      <c r="AQ121" s="34"/>
      <c r="AR121" s="34"/>
      <c r="AS121" s="34"/>
    </row>
    <row r="122" spans="33:45" ht="16.5" hidden="1">
      <c r="AG122" s="2"/>
      <c r="AH122" s="13" t="s">
        <v>61</v>
      </c>
      <c r="AI122" s="48">
        <f>'Chi phi Du an- NHAVIET'!$C$7</f>
        <v>3</v>
      </c>
      <c r="AJ122" s="15"/>
      <c r="AK122" s="15"/>
      <c r="AL122" s="15"/>
      <c r="AM122" s="2"/>
      <c r="AN122" s="2"/>
      <c r="AO122" s="13" t="s">
        <v>61</v>
      </c>
      <c r="AP122" s="48">
        <f>'Chi phi Du an- NHAVIET'!$C$7</f>
        <v>3</v>
      </c>
      <c r="AQ122" s="15"/>
      <c r="AR122" s="15"/>
      <c r="AS122" s="15"/>
    </row>
    <row r="123" spans="33:45" ht="16.5" hidden="1">
      <c r="AG123" s="2"/>
      <c r="AH123" s="13" t="s">
        <v>43</v>
      </c>
      <c r="AI123" s="16">
        <f>'Chi phi Du an- NHAVIET'!$C$9/1000000000</f>
        <v>91.698048</v>
      </c>
      <c r="AJ123" s="15"/>
      <c r="AK123" s="15"/>
      <c r="AL123" s="15"/>
      <c r="AM123" s="2"/>
      <c r="AN123" s="2"/>
      <c r="AO123" s="13" t="s">
        <v>43</v>
      </c>
      <c r="AP123" s="16">
        <f>'Chi phi Du an- NHAVIET'!$C$9/1000000000</f>
        <v>91.698048</v>
      </c>
      <c r="AQ123" s="15"/>
      <c r="AR123" s="15"/>
      <c r="AS123" s="15"/>
    </row>
    <row r="124" spans="33:45" ht="16.5" hidden="1">
      <c r="AG124" s="2"/>
      <c r="AH124" s="13" t="s">
        <v>45</v>
      </c>
      <c r="AI124" s="17">
        <f>IF(AI123=0,0,IF(AI126=AJ126,AI127,(AJ127-AI127)/(AJ126-AI126)*(AI123-AI126)+AI127))</f>
        <v>1.2432454656</v>
      </c>
      <c r="AJ124" s="15"/>
      <c r="AK124" s="15"/>
      <c r="AL124" s="15"/>
      <c r="AM124" s="34"/>
      <c r="AN124" s="2"/>
      <c r="AO124" s="13" t="s">
        <v>45</v>
      </c>
      <c r="AP124" s="17">
        <f>IF(AP123=0,0,IF(AP126=AQ126,AP127,(AQ127-AP127)/(AQ126-AP126)*(AP123-AP126)+AP127))</f>
        <v>1.803207808</v>
      </c>
      <c r="AQ124" s="15"/>
      <c r="AR124" s="15"/>
      <c r="AS124" s="15"/>
    </row>
    <row r="125" spans="33:45" ht="16.5" hidden="1">
      <c r="AG125" s="2"/>
      <c r="AH125" s="18"/>
      <c r="AI125" s="18">
        <f>IF(AI123&lt;AG110,1,MATCH(AI123,AG110:AG120,1))</f>
        <v>3</v>
      </c>
      <c r="AJ125" s="15">
        <f>IF(OR(AI123&lt;AG110,AI123&gt;AG120),AI125,AI125+1)</f>
        <v>4</v>
      </c>
      <c r="AK125" s="15"/>
      <c r="AL125" s="15"/>
      <c r="AM125" s="34"/>
      <c r="AN125" s="2"/>
      <c r="AO125" s="18"/>
      <c r="AP125" s="18">
        <f>IF(AP123&lt;AN110,1,MATCH(AP123,AN110:AN120,1))</f>
        <v>3</v>
      </c>
      <c r="AQ125" s="15">
        <f>IF(OR(AP123&lt;AN110,AP123&gt;AN120),AP125,AP125+1)</f>
        <v>4</v>
      </c>
      <c r="AR125" s="18"/>
      <c r="AS125" s="15"/>
    </row>
    <row r="126" spans="33:45" ht="16.5" hidden="1">
      <c r="AG126" s="2"/>
      <c r="AH126" s="18"/>
      <c r="AI126" s="18">
        <f ca="1">OFFSET(AG110,AI125-1,0)</f>
        <v>50</v>
      </c>
      <c r="AJ126" s="18">
        <f ca="1">OFFSET(AG110,AJ125-1,0)</f>
        <v>100</v>
      </c>
      <c r="AK126" s="18"/>
      <c r="AL126" s="18"/>
      <c r="AM126" s="34"/>
      <c r="AN126" s="2"/>
      <c r="AO126" s="18"/>
      <c r="AP126" s="18">
        <f ca="1">OFFSET(AN110,AP125-1,0)</f>
        <v>50</v>
      </c>
      <c r="AQ126" s="18">
        <f ca="1">OFFSET(AN110,AQ125-1,0)</f>
        <v>100</v>
      </c>
      <c r="AR126" s="18"/>
      <c r="AS126" s="15"/>
    </row>
    <row r="127" spans="33:45" ht="16.5" hidden="1">
      <c r="AG127" s="2"/>
      <c r="AH127" s="18"/>
      <c r="AI127" s="19">
        <f ca="1">OFFSET(AG110,AI125-1,AI122)</f>
        <v>1.36</v>
      </c>
      <c r="AJ127" s="19">
        <f ca="1">OFFSET(AG110,AJ125-1,AI122)</f>
        <v>1.22</v>
      </c>
      <c r="AK127" s="19"/>
      <c r="AL127" s="19"/>
      <c r="AM127" s="34"/>
      <c r="AN127" s="2"/>
      <c r="AO127" s="18"/>
      <c r="AP127" s="19">
        <f ca="1">OFFSET(AN110,AP125-1,AP122)</f>
        <v>1.97</v>
      </c>
      <c r="AQ127" s="19">
        <f ca="1">OFFSET(AN110,AQ125-1,AP122)</f>
        <v>1.77</v>
      </c>
      <c r="AR127" s="19"/>
      <c r="AS127" s="15"/>
    </row>
    <row r="128" spans="33:45" ht="15" hidden="1"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</row>
  </sheetData>
  <sheetProtection password="E917" sheet="1" objects="1" scenarios="1" formatCells="0"/>
  <mergeCells count="60">
    <mergeCell ref="E14:E20"/>
    <mergeCell ref="T6:AE6"/>
    <mergeCell ref="AH7:AL7"/>
    <mergeCell ref="R106:R107"/>
    <mergeCell ref="S106:S107"/>
    <mergeCell ref="T106:AE106"/>
    <mergeCell ref="R6:R7"/>
    <mergeCell ref="S6:S7"/>
    <mergeCell ref="R23:R24"/>
    <mergeCell ref="S23:S24"/>
    <mergeCell ref="R42:R43"/>
    <mergeCell ref="S42:S43"/>
    <mergeCell ref="T42:V42"/>
    <mergeCell ref="AH57:AL57"/>
    <mergeCell ref="AH56:AJ56"/>
    <mergeCell ref="AG7:AG8"/>
    <mergeCell ref="AH31:AJ31"/>
    <mergeCell ref="T23:AE23"/>
    <mergeCell ref="AG32:AG33"/>
    <mergeCell ref="AH107:AL107"/>
    <mergeCell ref="AN57:AN58"/>
    <mergeCell ref="AG82:AG83"/>
    <mergeCell ref="AN82:AN83"/>
    <mergeCell ref="AH81:AJ81"/>
    <mergeCell ref="AN107:AN108"/>
    <mergeCell ref="AH106:AJ106"/>
    <mergeCell ref="AH82:AL82"/>
    <mergeCell ref="AG107:AG108"/>
    <mergeCell ref="AG57:AG58"/>
    <mergeCell ref="AN32:AN33"/>
    <mergeCell ref="AH32:AL32"/>
    <mergeCell ref="AH6:AJ6"/>
    <mergeCell ref="AO7:AS7"/>
    <mergeCell ref="AN7:AN8"/>
    <mergeCell ref="AO56:AS56"/>
    <mergeCell ref="AO107:AS107"/>
    <mergeCell ref="AU25:AU26"/>
    <mergeCell ref="AU7:AU8"/>
    <mergeCell ref="AO57:AS57"/>
    <mergeCell ref="AO81:AS81"/>
    <mergeCell ref="AO82:AS82"/>
    <mergeCell ref="AO106:AS106"/>
    <mergeCell ref="AO31:AS31"/>
    <mergeCell ref="AO32:AS32"/>
    <mergeCell ref="AW7:BF7"/>
    <mergeCell ref="AV25:AV26"/>
    <mergeCell ref="AW25:BF25"/>
    <mergeCell ref="BH25:BH26"/>
    <mergeCell ref="BH7:BH8"/>
    <mergeCell ref="AV7:AV8"/>
    <mergeCell ref="BI25:BI26"/>
    <mergeCell ref="BJ25:BS25"/>
    <mergeCell ref="BU25:BU26"/>
    <mergeCell ref="BU7:BU8"/>
    <mergeCell ref="BI7:BI8"/>
    <mergeCell ref="BW7:CF7"/>
    <mergeCell ref="BV25:BV26"/>
    <mergeCell ref="BW25:CF25"/>
    <mergeCell ref="BJ7:BS7"/>
    <mergeCell ref="BV7:BV8"/>
  </mergeCells>
  <conditionalFormatting sqref="D8">
    <cfRule type="cellIs" priority="1" dxfId="1" operator="notEqual" stopIfTrue="1">
      <formula>""</formula>
    </cfRule>
  </conditionalFormatting>
  <printOptions horizontalCentered="1"/>
  <pageMargins left="0.77" right="0.44" top="0.5" bottom="0.52" header="0.36" footer="0.29"/>
  <pageSetup blackAndWhite="1" fitToHeight="1" fitToWidth="1" horizontalDpi="300" verticalDpi="300" orientation="portrait" paperSize="9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2009-10-12T15:46:01Z</cp:lastPrinted>
  <dcterms:created xsi:type="dcterms:W3CDTF">2008-12-01T04:40:55Z</dcterms:created>
  <dcterms:modified xsi:type="dcterms:W3CDTF">2022-11-07T09:13:41Z</dcterms:modified>
  <cp:category/>
  <cp:version/>
  <cp:contentType/>
  <cp:contentStatus/>
</cp:coreProperties>
</file>